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1 - Vila Maria_Vila Guilherme\Sites\Conteúdo Acesso a Informação\1. Atividades e Resultados - Planilha de Produção\2016\"/>
    </mc:Choice>
  </mc:AlternateContent>
  <xr:revisionPtr revIDLastSave="0" documentId="13_ncr:1_{9F5D49B0-C9AF-4F5D-8BEA-21C42200E83C}" xr6:coauthVersionLast="43" xr6:coauthVersionMax="43" xr10:uidLastSave="{00000000-0000-0000-0000-000000000000}"/>
  <bookViews>
    <workbookView xWindow="-120" yWindow="-120" windowWidth="20640" windowHeight="11160" tabRatio="840" firstSheet="1" activeTab="1" xr2:uid="{00000000-000D-0000-FFFF-FFFF00000000}"/>
  </bookViews>
  <sheets>
    <sheet name="Qualidade" sheetId="27" state="hidden" r:id="rId1"/>
    <sheet name="Pque N Mundo I" sheetId="2" r:id="rId2"/>
    <sheet name="Pque N Mundo II" sheetId="3" r:id="rId3"/>
    <sheet name="UBS J Brasil" sheetId="4" r:id="rId4"/>
    <sheet name="UBS V Guilherme" sheetId="5" r:id="rId5"/>
    <sheet name="CEO II V GUILHERME" sheetId="19" r:id="rId6"/>
    <sheet name="UBS V Medeiros" sheetId="6" r:id="rId7"/>
    <sheet name="UBS Izolina Mazzei" sheetId="7" r:id="rId8"/>
    <sheet name="UBS Jardim Japão" sheetId="8" r:id="rId9"/>
    <sheet name="EMAD na UBS JD JAPÃO" sheetId="25" r:id="rId10"/>
    <sheet name="UBS Vila Ede" sheetId="9" r:id="rId11"/>
    <sheet name="UBS Vila Leonor" sheetId="10" r:id="rId12"/>
    <sheet name="UBS Vila Sabrina" sheetId="11" r:id="rId13"/>
    <sheet name="UBS Carandiru" sheetId="12" r:id="rId14"/>
    <sheet name="URSI CARANDIRU" sheetId="20" r:id="rId15"/>
    <sheet name="CER Carandiru" sheetId="30" r:id="rId16"/>
    <sheet name="APD no CER III Carandiru" sheetId="29" r:id="rId17"/>
    <sheet name="UBS Vila Maria P Gnecco" sheetId="13" r:id="rId18"/>
    <sheet name="UBS Jardim Julieta" sheetId="14" r:id="rId19"/>
    <sheet name="CAPS INF II VM-VG" sheetId="31" r:id="rId20"/>
    <sheet name="AMA E ISOLINA MAZZEI" sheetId="32" r:id="rId21"/>
    <sheet name="PSM V MARIA BAIXA" sheetId="21" state="hidden" r:id="rId22"/>
    <sheet name="AMA JD BRASIL" sheetId="22" state="hidden" r:id="rId23"/>
    <sheet name="AMA VL QUILHERME" sheetId="23" state="hidden" r:id="rId24"/>
    <sheet name="AMA VL MEDEIROS" sheetId="24" state="hidden" r:id="rId25"/>
    <sheet name="Consolidado Produção" sheetId="33" state="hidden" r:id="rId26"/>
    <sheet name="Consolidado Profissionais" sheetId="34" state="hidden" r:id="rId27"/>
    <sheet name="Consolidado Consulta" sheetId="38" state="hidden" r:id="rId28"/>
    <sheet name="valor desconto qualidade" sheetId="36" state="hidden" r:id="rId29"/>
    <sheet name="valor desconto produção" sheetId="37" state="hidden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9" i="32" l="1"/>
  <c r="W29" i="32"/>
  <c r="U29" i="32"/>
  <c r="S29" i="32"/>
  <c r="Z28" i="32"/>
  <c r="X28" i="32"/>
  <c r="V28" i="32"/>
  <c r="T28" i="32"/>
  <c r="Z27" i="32"/>
  <c r="X27" i="32"/>
  <c r="V27" i="32"/>
  <c r="T27" i="32"/>
  <c r="Z26" i="32"/>
  <c r="X26" i="32"/>
  <c r="V26" i="32"/>
  <c r="T26" i="32"/>
  <c r="Z25" i="32"/>
  <c r="X25" i="32"/>
  <c r="V25" i="32"/>
  <c r="T25" i="32"/>
  <c r="Z24" i="32"/>
  <c r="X24" i="32"/>
  <c r="V24" i="32"/>
  <c r="T24" i="32"/>
  <c r="Z23" i="32"/>
  <c r="X23" i="32"/>
  <c r="V23" i="32"/>
  <c r="T23" i="32"/>
  <c r="Z22" i="32"/>
  <c r="X22" i="32"/>
  <c r="V22" i="32"/>
  <c r="T22" i="32"/>
  <c r="Y17" i="32"/>
  <c r="W17" i="32"/>
  <c r="U17" i="32"/>
  <c r="S17" i="32"/>
  <c r="Z16" i="32"/>
  <c r="X16" i="32"/>
  <c r="V16" i="32"/>
  <c r="T16" i="32"/>
  <c r="Z15" i="32"/>
  <c r="X15" i="32"/>
  <c r="V15" i="32"/>
  <c r="T15" i="32"/>
  <c r="Z14" i="32"/>
  <c r="X14" i="32"/>
  <c r="V14" i="32"/>
  <c r="T14" i="32"/>
  <c r="Z13" i="32"/>
  <c r="X13" i="32"/>
  <c r="V13" i="32"/>
  <c r="T13" i="32"/>
  <c r="Z12" i="32"/>
  <c r="X12" i="32"/>
  <c r="V12" i="32"/>
  <c r="T12" i="32"/>
  <c r="Z11" i="32"/>
  <c r="X11" i="32"/>
  <c r="V11" i="32"/>
  <c r="T11" i="32"/>
  <c r="Z10" i="32"/>
  <c r="X10" i="32"/>
  <c r="V10" i="32"/>
  <c r="T10" i="32"/>
  <c r="Z9" i="32"/>
  <c r="X9" i="32"/>
  <c r="V9" i="32"/>
  <c r="T9" i="32"/>
  <c r="Z8" i="32"/>
  <c r="X8" i="32"/>
  <c r="V8" i="32"/>
  <c r="T8" i="32"/>
  <c r="Z7" i="32"/>
  <c r="X7" i="32"/>
  <c r="V7" i="32"/>
  <c r="T7" i="32"/>
  <c r="Z7" i="31"/>
  <c r="X7" i="31"/>
  <c r="V7" i="31"/>
  <c r="T7" i="31"/>
  <c r="Y10" i="14"/>
  <c r="W10" i="14"/>
  <c r="U10" i="14"/>
  <c r="S10" i="14"/>
  <c r="Z9" i="14"/>
  <c r="X9" i="14"/>
  <c r="V9" i="14"/>
  <c r="T9" i="14"/>
  <c r="Z8" i="14"/>
  <c r="X8" i="14"/>
  <c r="V8" i="14"/>
  <c r="T8" i="14"/>
  <c r="Z7" i="14"/>
  <c r="X7" i="14"/>
  <c r="V7" i="14"/>
  <c r="T7" i="14"/>
  <c r="Y12" i="13"/>
  <c r="W12" i="13"/>
  <c r="U12" i="13"/>
  <c r="S12" i="13"/>
  <c r="Z11" i="13"/>
  <c r="X11" i="13"/>
  <c r="V11" i="13"/>
  <c r="T11" i="13"/>
  <c r="Z10" i="13"/>
  <c r="X10" i="13"/>
  <c r="V10" i="13"/>
  <c r="T10" i="13"/>
  <c r="Z9" i="13"/>
  <c r="X9" i="13"/>
  <c r="V9" i="13"/>
  <c r="T9" i="13"/>
  <c r="Z8" i="13"/>
  <c r="X8" i="13"/>
  <c r="V8" i="13"/>
  <c r="T8" i="13"/>
  <c r="Z7" i="13"/>
  <c r="X7" i="13"/>
  <c r="V7" i="13"/>
  <c r="T7" i="13"/>
  <c r="Y8" i="29"/>
  <c r="W8" i="29"/>
  <c r="U8" i="29"/>
  <c r="S8" i="29"/>
  <c r="Z7" i="29"/>
  <c r="X7" i="29"/>
  <c r="V7" i="29"/>
  <c r="T7" i="29"/>
  <c r="Y9" i="30"/>
  <c r="W9" i="30"/>
  <c r="U9" i="30"/>
  <c r="S9" i="30"/>
  <c r="Z8" i="30"/>
  <c r="X8" i="30"/>
  <c r="V8" i="30"/>
  <c r="T8" i="30"/>
  <c r="Z7" i="30"/>
  <c r="X7" i="30"/>
  <c r="V7" i="30"/>
  <c r="T7" i="30"/>
  <c r="Y14" i="20"/>
  <c r="W14" i="20"/>
  <c r="U14" i="20"/>
  <c r="S14" i="20"/>
  <c r="Z13" i="20"/>
  <c r="X13" i="20"/>
  <c r="V13" i="20"/>
  <c r="T13" i="20"/>
  <c r="Z12" i="20"/>
  <c r="X12" i="20"/>
  <c r="V12" i="20"/>
  <c r="T12" i="20"/>
  <c r="Z11" i="20"/>
  <c r="X11" i="20"/>
  <c r="V11" i="20"/>
  <c r="T11" i="20"/>
  <c r="Z10" i="20"/>
  <c r="X10" i="20"/>
  <c r="V10" i="20"/>
  <c r="T10" i="20"/>
  <c r="Z9" i="20"/>
  <c r="X9" i="20"/>
  <c r="V9" i="20"/>
  <c r="T9" i="20"/>
  <c r="Z8" i="20"/>
  <c r="X8" i="20"/>
  <c r="V8" i="20"/>
  <c r="T8" i="20"/>
  <c r="Z7" i="20"/>
  <c r="X7" i="20"/>
  <c r="V7" i="20"/>
  <c r="T7" i="20"/>
  <c r="Y15" i="12"/>
  <c r="W15" i="12"/>
  <c r="U15" i="12"/>
  <c r="S15" i="12"/>
  <c r="Z14" i="12"/>
  <c r="X14" i="12"/>
  <c r="V14" i="12"/>
  <c r="T14" i="12"/>
  <c r="Z13" i="12"/>
  <c r="X13" i="12"/>
  <c r="V13" i="12"/>
  <c r="T13" i="12"/>
  <c r="Z12" i="12"/>
  <c r="X12" i="12"/>
  <c r="V12" i="12"/>
  <c r="T12" i="12"/>
  <c r="Z11" i="12"/>
  <c r="X11" i="12"/>
  <c r="V11" i="12"/>
  <c r="T11" i="12"/>
  <c r="Z10" i="12"/>
  <c r="X10" i="12"/>
  <c r="V10" i="12"/>
  <c r="T10" i="12"/>
  <c r="Z9" i="12"/>
  <c r="X9" i="12"/>
  <c r="V9" i="12"/>
  <c r="T9" i="12"/>
  <c r="Z8" i="12"/>
  <c r="X8" i="12"/>
  <c r="V8" i="12"/>
  <c r="T8" i="12"/>
  <c r="Z7" i="12"/>
  <c r="X7" i="12"/>
  <c r="V7" i="12"/>
  <c r="T7" i="12"/>
  <c r="Y12" i="11"/>
  <c r="W12" i="11"/>
  <c r="U12" i="11"/>
  <c r="S12" i="11"/>
  <c r="Z11" i="11"/>
  <c r="X11" i="11"/>
  <c r="V11" i="11"/>
  <c r="T11" i="11"/>
  <c r="Z10" i="11"/>
  <c r="X10" i="11"/>
  <c r="V10" i="11"/>
  <c r="T10" i="11"/>
  <c r="Z9" i="11"/>
  <c r="X9" i="11"/>
  <c r="V9" i="11"/>
  <c r="T9" i="11"/>
  <c r="Z8" i="11"/>
  <c r="X8" i="11"/>
  <c r="V8" i="11"/>
  <c r="T8" i="11"/>
  <c r="Z7" i="11"/>
  <c r="X7" i="11"/>
  <c r="V7" i="11"/>
  <c r="T7" i="11"/>
  <c r="Y12" i="10"/>
  <c r="W12" i="10"/>
  <c r="U12" i="10"/>
  <c r="S12" i="10"/>
  <c r="Z11" i="10"/>
  <c r="X11" i="10"/>
  <c r="V11" i="10"/>
  <c r="T11" i="10"/>
  <c r="Z10" i="10"/>
  <c r="X10" i="10"/>
  <c r="V10" i="10"/>
  <c r="T10" i="10"/>
  <c r="Z9" i="10"/>
  <c r="X9" i="10"/>
  <c r="V9" i="10"/>
  <c r="T9" i="10"/>
  <c r="Z8" i="10"/>
  <c r="X8" i="10"/>
  <c r="V8" i="10"/>
  <c r="T8" i="10"/>
  <c r="Z7" i="10"/>
  <c r="X7" i="10"/>
  <c r="V7" i="10"/>
  <c r="T7" i="10"/>
  <c r="Y13" i="9"/>
  <c r="W13" i="9"/>
  <c r="U13" i="9"/>
  <c r="S13" i="9"/>
  <c r="Z12" i="9"/>
  <c r="X12" i="9"/>
  <c r="V12" i="9"/>
  <c r="T12" i="9"/>
  <c r="Z11" i="9"/>
  <c r="X11" i="9"/>
  <c r="V11" i="9"/>
  <c r="T11" i="9"/>
  <c r="Z10" i="9"/>
  <c r="X10" i="9"/>
  <c r="V10" i="9"/>
  <c r="T10" i="9"/>
  <c r="Z9" i="9"/>
  <c r="X9" i="9"/>
  <c r="V9" i="9"/>
  <c r="T9" i="9"/>
  <c r="Z8" i="9"/>
  <c r="X8" i="9"/>
  <c r="V8" i="9"/>
  <c r="T8" i="9"/>
  <c r="Z7" i="9"/>
  <c r="X7" i="9"/>
  <c r="V7" i="9"/>
  <c r="T7" i="9"/>
  <c r="Y11" i="25"/>
  <c r="W11" i="25"/>
  <c r="U11" i="25"/>
  <c r="S11" i="25"/>
  <c r="Z10" i="25"/>
  <c r="X10" i="25"/>
  <c r="V10" i="25"/>
  <c r="T10" i="25"/>
  <c r="Z9" i="25"/>
  <c r="X9" i="25"/>
  <c r="V9" i="25"/>
  <c r="T9" i="25"/>
  <c r="Z8" i="25"/>
  <c r="X8" i="25"/>
  <c r="V8" i="25"/>
  <c r="T8" i="25"/>
  <c r="Z7" i="25"/>
  <c r="X7" i="25"/>
  <c r="V7" i="25"/>
  <c r="T7" i="25"/>
  <c r="Y12" i="8"/>
  <c r="W12" i="8"/>
  <c r="U12" i="8"/>
  <c r="S12" i="8"/>
  <c r="Z11" i="8"/>
  <c r="X11" i="8"/>
  <c r="V11" i="8"/>
  <c r="T11" i="8"/>
  <c r="Z10" i="8"/>
  <c r="X10" i="8"/>
  <c r="V10" i="8"/>
  <c r="T10" i="8"/>
  <c r="Z9" i="8"/>
  <c r="X9" i="8"/>
  <c r="V9" i="8"/>
  <c r="T9" i="8"/>
  <c r="Z8" i="8"/>
  <c r="X8" i="8"/>
  <c r="V8" i="8"/>
  <c r="T8" i="8"/>
  <c r="Z7" i="8"/>
  <c r="X7" i="8"/>
  <c r="V7" i="8"/>
  <c r="T7" i="8"/>
  <c r="Y15" i="7"/>
  <c r="W15" i="7"/>
  <c r="U15" i="7"/>
  <c r="S15" i="7"/>
  <c r="Z14" i="7"/>
  <c r="X14" i="7"/>
  <c r="V14" i="7"/>
  <c r="T14" i="7"/>
  <c r="Z13" i="7"/>
  <c r="X13" i="7"/>
  <c r="V13" i="7"/>
  <c r="T13" i="7"/>
  <c r="Z12" i="7"/>
  <c r="X12" i="7"/>
  <c r="V12" i="7"/>
  <c r="T12" i="7"/>
  <c r="Z11" i="7"/>
  <c r="X11" i="7"/>
  <c r="V11" i="7"/>
  <c r="T11" i="7"/>
  <c r="Z10" i="7"/>
  <c r="X10" i="7"/>
  <c r="V10" i="7"/>
  <c r="T10" i="7"/>
  <c r="Z9" i="7"/>
  <c r="X9" i="7"/>
  <c r="V9" i="7"/>
  <c r="T9" i="7"/>
  <c r="Z8" i="7"/>
  <c r="X8" i="7"/>
  <c r="V8" i="7"/>
  <c r="T8" i="7"/>
  <c r="Z7" i="7"/>
  <c r="X7" i="7"/>
  <c r="V7" i="7"/>
  <c r="T7" i="7"/>
  <c r="C15" i="7"/>
  <c r="Y13" i="6"/>
  <c r="W13" i="6"/>
  <c r="U13" i="6"/>
  <c r="S13" i="6"/>
  <c r="Z12" i="6"/>
  <c r="X12" i="6"/>
  <c r="V12" i="6"/>
  <c r="T12" i="6"/>
  <c r="Z11" i="6"/>
  <c r="X11" i="6"/>
  <c r="V11" i="6"/>
  <c r="T11" i="6"/>
  <c r="Z10" i="6"/>
  <c r="X10" i="6"/>
  <c r="V10" i="6"/>
  <c r="T10" i="6"/>
  <c r="Z9" i="6"/>
  <c r="X9" i="6"/>
  <c r="V9" i="6"/>
  <c r="T9" i="6"/>
  <c r="Z8" i="6"/>
  <c r="X8" i="6"/>
  <c r="V8" i="6"/>
  <c r="T8" i="6"/>
  <c r="Z7" i="6"/>
  <c r="X7" i="6"/>
  <c r="V7" i="6"/>
  <c r="T7" i="6"/>
  <c r="Y16" i="19"/>
  <c r="W16" i="19"/>
  <c r="U16" i="19"/>
  <c r="S16" i="19"/>
  <c r="Z15" i="19"/>
  <c r="X15" i="19"/>
  <c r="V15" i="19"/>
  <c r="T15" i="19"/>
  <c r="Z14" i="19"/>
  <c r="X14" i="19"/>
  <c r="V14" i="19"/>
  <c r="T14" i="19"/>
  <c r="Z13" i="19"/>
  <c r="X13" i="19"/>
  <c r="V13" i="19"/>
  <c r="T13" i="19"/>
  <c r="Z12" i="19"/>
  <c r="X12" i="19"/>
  <c r="V12" i="19"/>
  <c r="T12" i="19"/>
  <c r="Z11" i="19"/>
  <c r="X11" i="19"/>
  <c r="V11" i="19"/>
  <c r="T11" i="19"/>
  <c r="Z10" i="19"/>
  <c r="X10" i="19"/>
  <c r="V10" i="19"/>
  <c r="T10" i="19"/>
  <c r="Z9" i="19"/>
  <c r="X9" i="19"/>
  <c r="V9" i="19"/>
  <c r="T9" i="19"/>
  <c r="Z8" i="19"/>
  <c r="X8" i="19"/>
  <c r="V8" i="19"/>
  <c r="T8" i="19"/>
  <c r="Z7" i="19"/>
  <c r="X7" i="19"/>
  <c r="V7" i="19"/>
  <c r="T7" i="19"/>
  <c r="C16" i="19"/>
  <c r="P15" i="19"/>
  <c r="N15" i="19"/>
  <c r="L15" i="19"/>
  <c r="I15" i="19"/>
  <c r="J15" i="19" s="1"/>
  <c r="H15" i="19"/>
  <c r="F15" i="19"/>
  <c r="D15" i="19"/>
  <c r="Y11" i="5"/>
  <c r="W11" i="5"/>
  <c r="U11" i="5"/>
  <c r="S11" i="5"/>
  <c r="Z10" i="5"/>
  <c r="X10" i="5"/>
  <c r="V10" i="5"/>
  <c r="T10" i="5"/>
  <c r="Z9" i="5"/>
  <c r="X9" i="5"/>
  <c r="V9" i="5"/>
  <c r="T9" i="5"/>
  <c r="Z8" i="5"/>
  <c r="X8" i="5"/>
  <c r="V8" i="5"/>
  <c r="T8" i="5"/>
  <c r="Z7" i="5"/>
  <c r="X7" i="5"/>
  <c r="V7" i="5"/>
  <c r="T7" i="5"/>
  <c r="Y13" i="4"/>
  <c r="W13" i="4"/>
  <c r="U13" i="4"/>
  <c r="S13" i="4"/>
  <c r="Z12" i="4"/>
  <c r="X12" i="4"/>
  <c r="V12" i="4"/>
  <c r="T12" i="4"/>
  <c r="Z11" i="4"/>
  <c r="X11" i="4"/>
  <c r="V11" i="4"/>
  <c r="T11" i="4"/>
  <c r="Z10" i="4"/>
  <c r="X10" i="4"/>
  <c r="V10" i="4"/>
  <c r="T10" i="4"/>
  <c r="Z9" i="4"/>
  <c r="X9" i="4"/>
  <c r="V9" i="4"/>
  <c r="T9" i="4"/>
  <c r="Z8" i="4"/>
  <c r="X8" i="4"/>
  <c r="V8" i="4"/>
  <c r="T8" i="4"/>
  <c r="Z7" i="4"/>
  <c r="X7" i="4"/>
  <c r="V7" i="4"/>
  <c r="T7" i="4"/>
  <c r="Y17" i="3"/>
  <c r="W17" i="3"/>
  <c r="U17" i="3"/>
  <c r="S17" i="3"/>
  <c r="Z16" i="3"/>
  <c r="X16" i="3"/>
  <c r="V16" i="3"/>
  <c r="T16" i="3"/>
  <c r="Z15" i="3"/>
  <c r="X15" i="3"/>
  <c r="V15" i="3"/>
  <c r="T15" i="3"/>
  <c r="Z14" i="3"/>
  <c r="X14" i="3"/>
  <c r="V14" i="3"/>
  <c r="T14" i="3"/>
  <c r="Z13" i="3"/>
  <c r="X13" i="3"/>
  <c r="V13" i="3"/>
  <c r="T13" i="3"/>
  <c r="Z12" i="3"/>
  <c r="X12" i="3"/>
  <c r="V12" i="3"/>
  <c r="T12" i="3"/>
  <c r="Z11" i="3"/>
  <c r="X11" i="3"/>
  <c r="V11" i="3"/>
  <c r="T11" i="3"/>
  <c r="Z10" i="3"/>
  <c r="X10" i="3"/>
  <c r="V10" i="3"/>
  <c r="T10" i="3"/>
  <c r="Z9" i="3"/>
  <c r="X9" i="3"/>
  <c r="V9" i="3"/>
  <c r="T9" i="3"/>
  <c r="Z8" i="3"/>
  <c r="X8" i="3"/>
  <c r="V8" i="3"/>
  <c r="T8" i="3"/>
  <c r="Z7" i="3"/>
  <c r="X7" i="3"/>
  <c r="V7" i="3"/>
  <c r="T7" i="3"/>
  <c r="Y16" i="2"/>
  <c r="W16" i="2"/>
  <c r="U16" i="2"/>
  <c r="S16" i="2"/>
  <c r="Z15" i="2"/>
  <c r="X15" i="2"/>
  <c r="V15" i="2"/>
  <c r="T15" i="2"/>
  <c r="Z14" i="2"/>
  <c r="X14" i="2"/>
  <c r="V14" i="2"/>
  <c r="T14" i="2"/>
  <c r="Z13" i="2"/>
  <c r="X13" i="2"/>
  <c r="V13" i="2"/>
  <c r="T13" i="2"/>
  <c r="Z12" i="2"/>
  <c r="X12" i="2"/>
  <c r="V12" i="2"/>
  <c r="T12" i="2"/>
  <c r="Z11" i="2"/>
  <c r="X11" i="2"/>
  <c r="V11" i="2"/>
  <c r="T11" i="2"/>
  <c r="Z10" i="2"/>
  <c r="X10" i="2"/>
  <c r="V10" i="2"/>
  <c r="T10" i="2"/>
  <c r="Z9" i="2"/>
  <c r="X9" i="2"/>
  <c r="V9" i="2"/>
  <c r="T9" i="2"/>
  <c r="Z8" i="2"/>
  <c r="X8" i="2"/>
  <c r="V8" i="2"/>
  <c r="T8" i="2"/>
  <c r="Z7" i="2"/>
  <c r="X7" i="2"/>
  <c r="V7" i="2"/>
  <c r="T7" i="2"/>
  <c r="E29" i="32" l="1"/>
  <c r="C29" i="32"/>
  <c r="F28" i="32"/>
  <c r="D28" i="32"/>
  <c r="F27" i="32"/>
  <c r="D27" i="32"/>
  <c r="F26" i="32"/>
  <c r="D26" i="32"/>
  <c r="F25" i="32"/>
  <c r="D25" i="32"/>
  <c r="F24" i="32"/>
  <c r="D24" i="32"/>
  <c r="F23" i="32"/>
  <c r="D23" i="32"/>
  <c r="F22" i="32"/>
  <c r="D22" i="32"/>
  <c r="E17" i="32"/>
  <c r="C17" i="32"/>
  <c r="F16" i="32"/>
  <c r="D16" i="32"/>
  <c r="F15" i="32"/>
  <c r="D15" i="32"/>
  <c r="F14" i="32"/>
  <c r="D14" i="32"/>
  <c r="F13" i="32"/>
  <c r="D13" i="32"/>
  <c r="F12" i="32"/>
  <c r="D12" i="32"/>
  <c r="F11" i="32"/>
  <c r="D11" i="32"/>
  <c r="F10" i="32"/>
  <c r="D10" i="32"/>
  <c r="F9" i="32"/>
  <c r="D9" i="32"/>
  <c r="F8" i="32"/>
  <c r="D8" i="32"/>
  <c r="F7" i="32"/>
  <c r="D7" i="32"/>
  <c r="E8" i="31"/>
  <c r="C8" i="31"/>
  <c r="F7" i="31"/>
  <c r="D7" i="31"/>
  <c r="E10" i="14"/>
  <c r="C10" i="14"/>
  <c r="F9" i="14"/>
  <c r="D9" i="14"/>
  <c r="F8" i="14"/>
  <c r="D8" i="14"/>
  <c r="F7" i="14"/>
  <c r="D7" i="14"/>
  <c r="E12" i="13"/>
  <c r="C12" i="13"/>
  <c r="F11" i="13"/>
  <c r="D11" i="13"/>
  <c r="F10" i="13"/>
  <c r="D10" i="13"/>
  <c r="F9" i="13"/>
  <c r="D9" i="13"/>
  <c r="F8" i="13"/>
  <c r="D8" i="13"/>
  <c r="F7" i="13"/>
  <c r="D7" i="13"/>
  <c r="E8" i="29"/>
  <c r="C8" i="29"/>
  <c r="F7" i="29"/>
  <c r="D7" i="29"/>
  <c r="E9" i="30"/>
  <c r="C9" i="30"/>
  <c r="F8" i="30"/>
  <c r="D8" i="30"/>
  <c r="F7" i="30"/>
  <c r="D7" i="30"/>
  <c r="E14" i="20"/>
  <c r="C14" i="20"/>
  <c r="F13" i="20"/>
  <c r="D13" i="20"/>
  <c r="F12" i="20"/>
  <c r="D12" i="20"/>
  <c r="F11" i="20"/>
  <c r="D11" i="20"/>
  <c r="F10" i="20"/>
  <c r="D10" i="20"/>
  <c r="F9" i="20"/>
  <c r="D9" i="20"/>
  <c r="F8" i="20"/>
  <c r="D8" i="20"/>
  <c r="F7" i="20"/>
  <c r="D7" i="20"/>
  <c r="E15" i="12"/>
  <c r="C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E12" i="11"/>
  <c r="C12" i="11"/>
  <c r="F11" i="11"/>
  <c r="D11" i="11"/>
  <c r="F10" i="11"/>
  <c r="D10" i="11"/>
  <c r="F9" i="11"/>
  <c r="D9" i="11"/>
  <c r="F8" i="11"/>
  <c r="D8" i="11"/>
  <c r="F7" i="11"/>
  <c r="D7" i="11"/>
  <c r="E12" i="10"/>
  <c r="C12" i="10"/>
  <c r="F11" i="10"/>
  <c r="D11" i="10"/>
  <c r="F10" i="10"/>
  <c r="D10" i="10"/>
  <c r="F9" i="10"/>
  <c r="D9" i="10"/>
  <c r="F8" i="10"/>
  <c r="D8" i="10"/>
  <c r="F7" i="10"/>
  <c r="D7" i="10"/>
  <c r="E13" i="9"/>
  <c r="C13" i="9"/>
  <c r="F12" i="9"/>
  <c r="D12" i="9"/>
  <c r="F11" i="9"/>
  <c r="D11" i="9"/>
  <c r="F10" i="9"/>
  <c r="D10" i="9"/>
  <c r="F9" i="9"/>
  <c r="D9" i="9"/>
  <c r="F8" i="9"/>
  <c r="D8" i="9"/>
  <c r="F7" i="9"/>
  <c r="D7" i="9"/>
  <c r="E11" i="25"/>
  <c r="C11" i="25"/>
  <c r="F7" i="25"/>
  <c r="D7" i="25"/>
  <c r="E12" i="8"/>
  <c r="C12" i="8"/>
  <c r="F11" i="8"/>
  <c r="D11" i="8"/>
  <c r="F10" i="8"/>
  <c r="D10" i="8"/>
  <c r="F9" i="8"/>
  <c r="D9" i="8"/>
  <c r="F8" i="8"/>
  <c r="D8" i="8"/>
  <c r="F7" i="8"/>
  <c r="D7" i="8"/>
  <c r="E15" i="7"/>
  <c r="F12" i="7"/>
  <c r="D12" i="7"/>
  <c r="F11" i="7"/>
  <c r="D11" i="7"/>
  <c r="F10" i="7"/>
  <c r="D10" i="7"/>
  <c r="F9" i="7"/>
  <c r="D9" i="7"/>
  <c r="F8" i="7"/>
  <c r="D8" i="7"/>
  <c r="F7" i="7"/>
  <c r="D7" i="7"/>
  <c r="E13" i="6"/>
  <c r="C13" i="6"/>
  <c r="F12" i="6"/>
  <c r="D12" i="6"/>
  <c r="F11" i="6"/>
  <c r="D11" i="6"/>
  <c r="F10" i="6"/>
  <c r="D10" i="6"/>
  <c r="F9" i="6"/>
  <c r="D9" i="6"/>
  <c r="F8" i="6"/>
  <c r="D8" i="6"/>
  <c r="F7" i="6"/>
  <c r="D7" i="6"/>
  <c r="E16" i="19"/>
  <c r="F14" i="19"/>
  <c r="D14" i="19"/>
  <c r="F13" i="19"/>
  <c r="D13" i="19"/>
  <c r="F12" i="19"/>
  <c r="D12" i="19"/>
  <c r="F11" i="19"/>
  <c r="D11" i="19"/>
  <c r="F10" i="19"/>
  <c r="D10" i="19"/>
  <c r="F9" i="19"/>
  <c r="D9" i="19"/>
  <c r="F7" i="19"/>
  <c r="D7" i="19"/>
  <c r="E11" i="5"/>
  <c r="C11" i="5"/>
  <c r="F10" i="5"/>
  <c r="D10" i="5"/>
  <c r="F9" i="5"/>
  <c r="D9" i="5"/>
  <c r="F8" i="5"/>
  <c r="D8" i="5"/>
  <c r="F7" i="5"/>
  <c r="D7" i="5"/>
  <c r="E13" i="4"/>
  <c r="C13" i="4"/>
  <c r="F12" i="4"/>
  <c r="D12" i="4"/>
  <c r="F11" i="4"/>
  <c r="D11" i="4"/>
  <c r="F10" i="4"/>
  <c r="D10" i="4"/>
  <c r="F9" i="4"/>
  <c r="D9" i="4"/>
  <c r="F8" i="4"/>
  <c r="D8" i="4"/>
  <c r="F7" i="4"/>
  <c r="D7" i="4"/>
  <c r="E17" i="3"/>
  <c r="C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E16" i="2"/>
  <c r="C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Q27" i="32" l="1"/>
  <c r="Q12" i="20"/>
  <c r="O12" i="10"/>
  <c r="Q9" i="2" l="1"/>
  <c r="I8" i="22" l="1"/>
  <c r="I7" i="22"/>
  <c r="O12" i="13"/>
  <c r="J6" i="38"/>
  <c r="K6" i="38" s="1"/>
  <c r="P76" i="38"/>
  <c r="P75" i="38"/>
  <c r="P74" i="38"/>
  <c r="P73" i="38"/>
  <c r="P72" i="38"/>
  <c r="P71" i="38"/>
  <c r="P70" i="38"/>
  <c r="N76" i="38"/>
  <c r="N75" i="38"/>
  <c r="N74" i="38"/>
  <c r="N73" i="38"/>
  <c r="N72" i="38"/>
  <c r="N71" i="38"/>
  <c r="N70" i="38"/>
  <c r="N65" i="38"/>
  <c r="N64" i="38"/>
  <c r="N63" i="38"/>
  <c r="N62" i="38"/>
  <c r="N61" i="38"/>
  <c r="N60" i="38"/>
  <c r="N59" i="38"/>
  <c r="N58" i="38"/>
  <c r="N57" i="38"/>
  <c r="N56" i="38"/>
  <c r="N55" i="38"/>
  <c r="P52" i="38"/>
  <c r="P51" i="38"/>
  <c r="P50" i="38"/>
  <c r="P49" i="38"/>
  <c r="P48" i="38"/>
  <c r="P47" i="38"/>
  <c r="P46" i="38"/>
  <c r="P45" i="38"/>
  <c r="P44" i="38"/>
  <c r="N52" i="38"/>
  <c r="N51" i="38"/>
  <c r="N50" i="38"/>
  <c r="N49" i="38"/>
  <c r="N48" i="38"/>
  <c r="N47" i="38"/>
  <c r="N46" i="38"/>
  <c r="N45" i="38"/>
  <c r="N44" i="38"/>
  <c r="P35" i="38"/>
  <c r="P36" i="38"/>
  <c r="P37" i="38"/>
  <c r="P38" i="38"/>
  <c r="P39" i="38"/>
  <c r="P40" i="38"/>
  <c r="P41" i="38"/>
  <c r="P42" i="38"/>
  <c r="N35" i="38"/>
  <c r="N36" i="38"/>
  <c r="N37" i="38"/>
  <c r="N38" i="38"/>
  <c r="N39" i="38"/>
  <c r="N40" i="38"/>
  <c r="N41" i="38"/>
  <c r="N42" i="38"/>
  <c r="P31" i="38"/>
  <c r="N31" i="38"/>
  <c r="P28" i="38"/>
  <c r="P29" i="38"/>
  <c r="N28" i="38"/>
  <c r="N29" i="38"/>
  <c r="P26" i="38"/>
  <c r="N26" i="38"/>
  <c r="P18" i="38"/>
  <c r="P19" i="38"/>
  <c r="P20" i="38"/>
  <c r="P21" i="38"/>
  <c r="P22" i="38"/>
  <c r="P23" i="38"/>
  <c r="P24" i="38"/>
  <c r="N18" i="38"/>
  <c r="N19" i="38"/>
  <c r="N20" i="38"/>
  <c r="N21" i="38"/>
  <c r="N22" i="38"/>
  <c r="N23" i="38"/>
  <c r="N24" i="38"/>
  <c r="P6" i="38"/>
  <c r="P7" i="38"/>
  <c r="P8" i="38"/>
  <c r="P9" i="38"/>
  <c r="P10" i="38"/>
  <c r="P11" i="38"/>
  <c r="P12" i="38"/>
  <c r="P13" i="38"/>
  <c r="P14" i="38"/>
  <c r="P15" i="38"/>
  <c r="N6" i="38"/>
  <c r="N7" i="38"/>
  <c r="N8" i="38"/>
  <c r="N9" i="38"/>
  <c r="N10" i="38"/>
  <c r="N11" i="38"/>
  <c r="N12" i="38"/>
  <c r="N13" i="38"/>
  <c r="N14" i="38"/>
  <c r="N15" i="38"/>
  <c r="L6" i="38"/>
  <c r="L7" i="38"/>
  <c r="L8" i="38"/>
  <c r="L9" i="38"/>
  <c r="L10" i="38"/>
  <c r="L11" i="38"/>
  <c r="L12" i="38"/>
  <c r="L13" i="38"/>
  <c r="L14" i="38"/>
  <c r="L15" i="38"/>
  <c r="P38" i="34"/>
  <c r="N38" i="34"/>
  <c r="L38" i="34"/>
  <c r="H38" i="34"/>
  <c r="F38" i="34"/>
  <c r="D38" i="34"/>
  <c r="C38" i="34"/>
  <c r="P37" i="34"/>
  <c r="N37" i="34"/>
  <c r="L37" i="34"/>
  <c r="H37" i="34"/>
  <c r="F37" i="34"/>
  <c r="D37" i="34"/>
  <c r="C37" i="34"/>
  <c r="L4" i="34"/>
  <c r="L5" i="34"/>
  <c r="L6" i="34"/>
  <c r="L7" i="34"/>
  <c r="P54" i="34"/>
  <c r="P55" i="34"/>
  <c r="P56" i="34"/>
  <c r="P57" i="34"/>
  <c r="P58" i="34"/>
  <c r="N54" i="34"/>
  <c r="N55" i="34"/>
  <c r="N56" i="34"/>
  <c r="N57" i="34"/>
  <c r="N58" i="34"/>
  <c r="L54" i="34"/>
  <c r="L55" i="34"/>
  <c r="L56" i="34"/>
  <c r="L57" i="34"/>
  <c r="L58" i="34"/>
  <c r="H54" i="34"/>
  <c r="H55" i="34"/>
  <c r="H56" i="34"/>
  <c r="H57" i="34"/>
  <c r="H58" i="34"/>
  <c r="I58" i="34" s="1"/>
  <c r="F54" i="34"/>
  <c r="F55" i="34"/>
  <c r="F56" i="34"/>
  <c r="F57" i="34"/>
  <c r="F58" i="34"/>
  <c r="D54" i="34"/>
  <c r="J54" i="34" s="1"/>
  <c r="K54" i="34" s="1"/>
  <c r="D55" i="34"/>
  <c r="D56" i="34"/>
  <c r="J56" i="34" s="1"/>
  <c r="K56" i="34" s="1"/>
  <c r="D57" i="34"/>
  <c r="D58" i="34"/>
  <c r="J58" i="34" s="1"/>
  <c r="K58" i="34" s="1"/>
  <c r="C54" i="34"/>
  <c r="C55" i="34"/>
  <c r="C56" i="34"/>
  <c r="C57" i="34"/>
  <c r="C58" i="34"/>
  <c r="C59" i="34"/>
  <c r="P52" i="34"/>
  <c r="P51" i="34"/>
  <c r="N52" i="34"/>
  <c r="N51" i="34"/>
  <c r="L52" i="34"/>
  <c r="R52" i="34" s="1"/>
  <c r="L51" i="34"/>
  <c r="R51" i="34" s="1"/>
  <c r="H52" i="34"/>
  <c r="H51" i="34"/>
  <c r="F52" i="34"/>
  <c r="F51" i="34"/>
  <c r="D52" i="34"/>
  <c r="D51" i="34"/>
  <c r="J51" i="34" s="1"/>
  <c r="C52" i="34"/>
  <c r="C51" i="34"/>
  <c r="O24" i="21"/>
  <c r="M24" i="21"/>
  <c r="K24" i="21"/>
  <c r="G24" i="21"/>
  <c r="E24" i="21"/>
  <c r="C24" i="21"/>
  <c r="B24" i="21"/>
  <c r="Q23" i="21"/>
  <c r="R23" i="21" s="1"/>
  <c r="P23" i="21"/>
  <c r="N23" i="21"/>
  <c r="L23" i="21"/>
  <c r="I23" i="21"/>
  <c r="J23" i="21" s="1"/>
  <c r="H23" i="21"/>
  <c r="F23" i="21"/>
  <c r="D23" i="21"/>
  <c r="Q22" i="21"/>
  <c r="R22" i="21" s="1"/>
  <c r="P22" i="21"/>
  <c r="N22" i="21"/>
  <c r="L22" i="21"/>
  <c r="I22" i="21"/>
  <c r="J22" i="21" s="1"/>
  <c r="H22" i="21"/>
  <c r="F22" i="21"/>
  <c r="D22" i="21"/>
  <c r="Q21" i="21"/>
  <c r="R21" i="21" s="1"/>
  <c r="P21" i="21"/>
  <c r="N21" i="21"/>
  <c r="L21" i="21"/>
  <c r="I21" i="21"/>
  <c r="J21" i="21" s="1"/>
  <c r="H21" i="21"/>
  <c r="F21" i="21"/>
  <c r="D21" i="21"/>
  <c r="Q20" i="21"/>
  <c r="R20" i="21" s="1"/>
  <c r="P20" i="21"/>
  <c r="N20" i="21"/>
  <c r="L20" i="21"/>
  <c r="I20" i="21"/>
  <c r="J20" i="21" s="1"/>
  <c r="H20" i="21"/>
  <c r="F20" i="21"/>
  <c r="D20" i="21"/>
  <c r="Q19" i="21"/>
  <c r="R19" i="21" s="1"/>
  <c r="P19" i="21"/>
  <c r="N19" i="21"/>
  <c r="L19" i="21"/>
  <c r="I19" i="21"/>
  <c r="J19" i="21" s="1"/>
  <c r="H19" i="21"/>
  <c r="F19" i="21"/>
  <c r="D19" i="21"/>
  <c r="H10" i="9"/>
  <c r="J10" i="9"/>
  <c r="L10" i="9"/>
  <c r="N10" i="9"/>
  <c r="P10" i="9"/>
  <c r="R10" i="9"/>
  <c r="H11" i="9"/>
  <c r="J11" i="9"/>
  <c r="L11" i="9"/>
  <c r="N11" i="9"/>
  <c r="P11" i="9"/>
  <c r="R11" i="9"/>
  <c r="J6" i="33" l="1"/>
  <c r="K6" i="33" s="1"/>
  <c r="I56" i="34"/>
  <c r="O51" i="34"/>
  <c r="Q51" i="34"/>
  <c r="I54" i="34"/>
  <c r="O58" i="34"/>
  <c r="O52" i="34"/>
  <c r="Q52" i="34"/>
  <c r="K51" i="34"/>
  <c r="G51" i="34"/>
  <c r="I51" i="34"/>
  <c r="S51" i="34"/>
  <c r="G55" i="34"/>
  <c r="E52" i="34"/>
  <c r="G52" i="34"/>
  <c r="I52" i="34"/>
  <c r="S52" i="34"/>
  <c r="J55" i="34"/>
  <c r="K55" i="34" s="1"/>
  <c r="G54" i="34"/>
  <c r="I57" i="34"/>
  <c r="I55" i="34"/>
  <c r="M52" i="34"/>
  <c r="M51" i="34"/>
  <c r="J57" i="34"/>
  <c r="K57" i="34" s="1"/>
  <c r="J38" i="34"/>
  <c r="J37" i="34"/>
  <c r="K37" i="34" s="1"/>
  <c r="J52" i="34"/>
  <c r="K52" i="34" s="1"/>
  <c r="E51" i="34"/>
  <c r="O56" i="34"/>
  <c r="O54" i="34"/>
  <c r="Q57" i="34"/>
  <c r="Q55" i="34"/>
  <c r="P59" i="34"/>
  <c r="Q59" i="34" s="1"/>
  <c r="L59" i="34"/>
  <c r="O57" i="34"/>
  <c r="O55" i="34"/>
  <c r="Q58" i="34"/>
  <c r="Q56" i="34"/>
  <c r="Q54" i="34"/>
  <c r="L16" i="38"/>
  <c r="R15" i="38"/>
  <c r="R13" i="38"/>
  <c r="R11" i="38"/>
  <c r="R9" i="38"/>
  <c r="R7" i="38"/>
  <c r="R14" i="38"/>
  <c r="R12" i="38"/>
  <c r="R10" i="38"/>
  <c r="R8" i="38"/>
  <c r="R6" i="38"/>
  <c r="S6" i="38" s="1"/>
  <c r="O38" i="34"/>
  <c r="Q38" i="34"/>
  <c r="E37" i="34"/>
  <c r="I37" i="34"/>
  <c r="O37" i="34"/>
  <c r="G37" i="34"/>
  <c r="M37" i="34"/>
  <c r="Q37" i="34"/>
  <c r="N59" i="34"/>
  <c r="O59" i="34" s="1"/>
  <c r="Q24" i="21"/>
  <c r="R37" i="34"/>
  <c r="S37" i="34" s="1"/>
  <c r="I24" i="21"/>
  <c r="J24" i="21" s="1"/>
  <c r="F24" i="21"/>
  <c r="R24" i="21"/>
  <c r="P24" i="21"/>
  <c r="H24" i="21"/>
  <c r="N24" i="21"/>
  <c r="D24" i="21"/>
  <c r="L24" i="21"/>
  <c r="R59" i="34" l="1"/>
  <c r="S59" i="34" s="1"/>
  <c r="P116" i="34"/>
  <c r="N116" i="34"/>
  <c r="P115" i="34"/>
  <c r="N115" i="34"/>
  <c r="P114" i="34"/>
  <c r="N114" i="34"/>
  <c r="P113" i="34"/>
  <c r="N113" i="34"/>
  <c r="P112" i="34"/>
  <c r="N112" i="34"/>
  <c r="P111" i="34"/>
  <c r="N111" i="34"/>
  <c r="P110" i="34"/>
  <c r="N110" i="34"/>
  <c r="P109" i="34"/>
  <c r="N109" i="34"/>
  <c r="P108" i="34"/>
  <c r="N108" i="34"/>
  <c r="P107" i="34"/>
  <c r="N107" i="34"/>
  <c r="P105" i="34"/>
  <c r="N105" i="34"/>
  <c r="P104" i="34"/>
  <c r="N104" i="34"/>
  <c r="P103" i="34"/>
  <c r="N103" i="34"/>
  <c r="P102" i="34"/>
  <c r="N102" i="34"/>
  <c r="P101" i="34"/>
  <c r="N101" i="34"/>
  <c r="P99" i="34"/>
  <c r="N99" i="34"/>
  <c r="P98" i="34"/>
  <c r="N98" i="34"/>
  <c r="P97" i="34"/>
  <c r="N97" i="34"/>
  <c r="P96" i="34"/>
  <c r="N96" i="34"/>
  <c r="P95" i="34"/>
  <c r="N95" i="34"/>
  <c r="P94" i="34"/>
  <c r="N94" i="34"/>
  <c r="P93" i="34"/>
  <c r="N93" i="34"/>
  <c r="P92" i="34"/>
  <c r="N92" i="34"/>
  <c r="P91" i="34"/>
  <c r="N91" i="34"/>
  <c r="P90" i="34"/>
  <c r="N90" i="34"/>
  <c r="P88" i="34"/>
  <c r="N88" i="34"/>
  <c r="P87" i="34"/>
  <c r="N87" i="34"/>
  <c r="P86" i="34"/>
  <c r="N86" i="34"/>
  <c r="P85" i="34"/>
  <c r="N85" i="34"/>
  <c r="P84" i="34"/>
  <c r="N84" i="34"/>
  <c r="P83" i="34"/>
  <c r="N83" i="34"/>
  <c r="P82" i="34"/>
  <c r="N82" i="34"/>
  <c r="P81" i="34"/>
  <c r="N81" i="34"/>
  <c r="P79" i="34"/>
  <c r="N79" i="34"/>
  <c r="P78" i="34"/>
  <c r="N78" i="34"/>
  <c r="P77" i="34"/>
  <c r="N77" i="34"/>
  <c r="P76" i="34"/>
  <c r="N76" i="34"/>
  <c r="P75" i="34"/>
  <c r="N75" i="34"/>
  <c r="P74" i="34"/>
  <c r="N74" i="34"/>
  <c r="P73" i="34"/>
  <c r="N73" i="34"/>
  <c r="P71" i="34"/>
  <c r="N71" i="34"/>
  <c r="P70" i="34"/>
  <c r="N70" i="34"/>
  <c r="P69" i="34"/>
  <c r="N69" i="34"/>
  <c r="P68" i="34"/>
  <c r="N68" i="34"/>
  <c r="P67" i="34"/>
  <c r="N67" i="34"/>
  <c r="P66" i="34"/>
  <c r="N66" i="34"/>
  <c r="P65" i="34"/>
  <c r="N65" i="34"/>
  <c r="P64" i="34"/>
  <c r="N64" i="34"/>
  <c r="P63" i="34"/>
  <c r="N63" i="34"/>
  <c r="P62" i="34"/>
  <c r="N62" i="34"/>
  <c r="P61" i="34"/>
  <c r="N61" i="34"/>
  <c r="P60" i="34"/>
  <c r="N60" i="34"/>
  <c r="P53" i="34"/>
  <c r="N53" i="34"/>
  <c r="P49" i="34"/>
  <c r="N49" i="34"/>
  <c r="P48" i="34"/>
  <c r="N48" i="34"/>
  <c r="P47" i="34"/>
  <c r="N47" i="34"/>
  <c r="P46" i="34"/>
  <c r="N46" i="34"/>
  <c r="P44" i="34"/>
  <c r="N44" i="34"/>
  <c r="P43" i="34"/>
  <c r="N43" i="34"/>
  <c r="P42" i="34"/>
  <c r="N42" i="34"/>
  <c r="P41" i="34"/>
  <c r="N41" i="34"/>
  <c r="P40" i="34"/>
  <c r="N40" i="34"/>
  <c r="P39" i="34"/>
  <c r="N39" i="34"/>
  <c r="P36" i="34"/>
  <c r="N36" i="34"/>
  <c r="P35" i="34"/>
  <c r="N35" i="34"/>
  <c r="P34" i="34"/>
  <c r="N34" i="34"/>
  <c r="P33" i="34"/>
  <c r="N33" i="34"/>
  <c r="P32" i="34"/>
  <c r="N32" i="34"/>
  <c r="P31" i="34"/>
  <c r="N31" i="34"/>
  <c r="P30" i="34"/>
  <c r="N30" i="34"/>
  <c r="P29" i="34"/>
  <c r="N29" i="34"/>
  <c r="P28" i="34"/>
  <c r="N28" i="34"/>
  <c r="P27" i="34"/>
  <c r="N27" i="34"/>
  <c r="P25" i="34"/>
  <c r="N25" i="34"/>
  <c r="P24" i="34"/>
  <c r="N24" i="34"/>
  <c r="P23" i="34"/>
  <c r="N23" i="34"/>
  <c r="P22" i="34"/>
  <c r="N22" i="34"/>
  <c r="P21" i="34"/>
  <c r="N21" i="34"/>
  <c r="P20" i="34"/>
  <c r="N20" i="34"/>
  <c r="P19" i="34"/>
  <c r="N19" i="34"/>
  <c r="P17" i="34"/>
  <c r="N17" i="34"/>
  <c r="P16" i="34"/>
  <c r="N16" i="34"/>
  <c r="P15" i="34"/>
  <c r="N15" i="34"/>
  <c r="P14" i="34"/>
  <c r="N14" i="34"/>
  <c r="P13" i="34"/>
  <c r="N13" i="34"/>
  <c r="P12" i="34"/>
  <c r="N12" i="34"/>
  <c r="P11" i="34"/>
  <c r="N11" i="34"/>
  <c r="P10" i="34"/>
  <c r="N10" i="34"/>
  <c r="P9" i="34"/>
  <c r="N9" i="34"/>
  <c r="P8" i="34"/>
  <c r="N8" i="34"/>
  <c r="P7" i="34"/>
  <c r="N7" i="34"/>
  <c r="P6" i="34"/>
  <c r="N6" i="34"/>
  <c r="P5" i="34"/>
  <c r="N5" i="34"/>
  <c r="P4" i="34"/>
  <c r="N4" i="34"/>
  <c r="P75" i="33"/>
  <c r="Q75" i="33" s="1"/>
  <c r="N75" i="33"/>
  <c r="O75" i="33" s="1"/>
  <c r="P74" i="33"/>
  <c r="Q74" i="33" s="1"/>
  <c r="N74" i="33"/>
  <c r="O74" i="33" s="1"/>
  <c r="P73" i="33"/>
  <c r="Q73" i="33" s="1"/>
  <c r="N73" i="33"/>
  <c r="O73" i="33" s="1"/>
  <c r="P72" i="33"/>
  <c r="Q72" i="33" s="1"/>
  <c r="N72" i="33"/>
  <c r="O72" i="33" s="1"/>
  <c r="P71" i="33"/>
  <c r="Q71" i="33" s="1"/>
  <c r="N71" i="33"/>
  <c r="O71" i="33" s="1"/>
  <c r="P70" i="33"/>
  <c r="Q70" i="33" s="1"/>
  <c r="N70" i="33"/>
  <c r="O70" i="33" s="1"/>
  <c r="P69" i="33"/>
  <c r="Q69" i="33" s="1"/>
  <c r="N69" i="33"/>
  <c r="O69" i="33" s="1"/>
  <c r="P64" i="33"/>
  <c r="Q64" i="33" s="1"/>
  <c r="N64" i="33"/>
  <c r="O64" i="33" s="1"/>
  <c r="P63" i="33"/>
  <c r="Q63" i="33" s="1"/>
  <c r="N63" i="33"/>
  <c r="O63" i="33" s="1"/>
  <c r="P62" i="33"/>
  <c r="Q62" i="33" s="1"/>
  <c r="N62" i="33"/>
  <c r="O62" i="33" s="1"/>
  <c r="P61" i="33"/>
  <c r="Q61" i="33" s="1"/>
  <c r="N61" i="33"/>
  <c r="O61" i="33" s="1"/>
  <c r="P60" i="33"/>
  <c r="Q60" i="33" s="1"/>
  <c r="N60" i="33"/>
  <c r="O60" i="33" s="1"/>
  <c r="P59" i="33"/>
  <c r="Q59" i="33" s="1"/>
  <c r="N59" i="33"/>
  <c r="O59" i="33" s="1"/>
  <c r="P58" i="33"/>
  <c r="Q58" i="33" s="1"/>
  <c r="N58" i="33"/>
  <c r="O58" i="33" s="1"/>
  <c r="P57" i="33"/>
  <c r="Q57" i="33" s="1"/>
  <c r="N57" i="33"/>
  <c r="O57" i="33" s="1"/>
  <c r="P56" i="33"/>
  <c r="Q56" i="33" s="1"/>
  <c r="N56" i="33"/>
  <c r="O56" i="33" s="1"/>
  <c r="P55" i="33"/>
  <c r="Q55" i="33" s="1"/>
  <c r="N55" i="33"/>
  <c r="O55" i="33" s="1"/>
  <c r="P54" i="33"/>
  <c r="Q54" i="33" s="1"/>
  <c r="N54" i="33"/>
  <c r="O54" i="33" s="1"/>
  <c r="P51" i="33"/>
  <c r="Q51" i="33" s="1"/>
  <c r="N51" i="33"/>
  <c r="O51" i="33" s="1"/>
  <c r="P50" i="33"/>
  <c r="Q50" i="33" s="1"/>
  <c r="N50" i="33"/>
  <c r="O50" i="33" s="1"/>
  <c r="P49" i="33"/>
  <c r="Q49" i="33" s="1"/>
  <c r="N49" i="33"/>
  <c r="O49" i="33" s="1"/>
  <c r="P48" i="33"/>
  <c r="Q48" i="33" s="1"/>
  <c r="N48" i="33"/>
  <c r="O48" i="33" s="1"/>
  <c r="P47" i="33"/>
  <c r="Q47" i="33" s="1"/>
  <c r="N47" i="33"/>
  <c r="O47" i="33" s="1"/>
  <c r="P46" i="33"/>
  <c r="Q46" i="33" s="1"/>
  <c r="N46" i="33"/>
  <c r="O46" i="33" s="1"/>
  <c r="P45" i="33"/>
  <c r="Q45" i="33" s="1"/>
  <c r="N45" i="33"/>
  <c r="O45" i="33" s="1"/>
  <c r="P44" i="33"/>
  <c r="Q44" i="33" s="1"/>
  <c r="N44" i="33"/>
  <c r="O44" i="33" s="1"/>
  <c r="P43" i="33"/>
  <c r="N43" i="33"/>
  <c r="P41" i="33"/>
  <c r="Q41" i="33" s="1"/>
  <c r="N41" i="33"/>
  <c r="O41" i="33" s="1"/>
  <c r="P40" i="33"/>
  <c r="Q40" i="33" s="1"/>
  <c r="N40" i="33"/>
  <c r="O40" i="33" s="1"/>
  <c r="P39" i="33"/>
  <c r="Q39" i="33" s="1"/>
  <c r="N39" i="33"/>
  <c r="O39" i="33" s="1"/>
  <c r="P38" i="33"/>
  <c r="Q38" i="33" s="1"/>
  <c r="N38" i="33"/>
  <c r="O38" i="33" s="1"/>
  <c r="P37" i="33"/>
  <c r="Q37" i="33" s="1"/>
  <c r="N37" i="33"/>
  <c r="O37" i="33" s="1"/>
  <c r="P36" i="33"/>
  <c r="Q36" i="33" s="1"/>
  <c r="N36" i="33"/>
  <c r="O36" i="33" s="1"/>
  <c r="P35" i="33"/>
  <c r="N35" i="33"/>
  <c r="P34" i="33"/>
  <c r="Q34" i="33" s="1"/>
  <c r="N34" i="33"/>
  <c r="O34" i="33" s="1"/>
  <c r="P30" i="33"/>
  <c r="Q30" i="33" s="1"/>
  <c r="N30" i="33"/>
  <c r="O30" i="33" s="1"/>
  <c r="P28" i="33"/>
  <c r="Q28" i="33" s="1"/>
  <c r="N28" i="33"/>
  <c r="O28" i="33" s="1"/>
  <c r="P27" i="33"/>
  <c r="Q27" i="33" s="1"/>
  <c r="N27" i="33"/>
  <c r="O27" i="33" s="1"/>
  <c r="P25" i="33"/>
  <c r="Q25" i="33" s="1"/>
  <c r="N25" i="33"/>
  <c r="O25" i="33" s="1"/>
  <c r="P23" i="33"/>
  <c r="Q23" i="33" s="1"/>
  <c r="N23" i="33"/>
  <c r="O23" i="33" s="1"/>
  <c r="P22" i="33"/>
  <c r="Q22" i="33" s="1"/>
  <c r="N22" i="33"/>
  <c r="O22" i="33" s="1"/>
  <c r="P21" i="33"/>
  <c r="Q21" i="33" s="1"/>
  <c r="N21" i="33"/>
  <c r="O21" i="33" s="1"/>
  <c r="P20" i="33"/>
  <c r="Q20" i="33" s="1"/>
  <c r="N20" i="33"/>
  <c r="O20" i="33" s="1"/>
  <c r="P19" i="33"/>
  <c r="Q19" i="33" s="1"/>
  <c r="N19" i="33"/>
  <c r="O19" i="33" s="1"/>
  <c r="P18" i="33"/>
  <c r="Q18" i="33" s="1"/>
  <c r="N18" i="33"/>
  <c r="O18" i="33" s="1"/>
  <c r="P17" i="33"/>
  <c r="Q17" i="33" s="1"/>
  <c r="N17" i="33"/>
  <c r="O17" i="33" s="1"/>
  <c r="P15" i="33"/>
  <c r="Q15" i="33" s="1"/>
  <c r="N15" i="33"/>
  <c r="O15" i="33" s="1"/>
  <c r="P14" i="33"/>
  <c r="Q14" i="33" s="1"/>
  <c r="N14" i="33"/>
  <c r="O14" i="33" s="1"/>
  <c r="P13" i="33"/>
  <c r="Q13" i="33" s="1"/>
  <c r="N13" i="33"/>
  <c r="O13" i="33" s="1"/>
  <c r="P12" i="33"/>
  <c r="Q12" i="33" s="1"/>
  <c r="N12" i="33"/>
  <c r="O12" i="33" s="1"/>
  <c r="P11" i="33"/>
  <c r="Q11" i="33" s="1"/>
  <c r="N11" i="33"/>
  <c r="O11" i="33" s="1"/>
  <c r="P10" i="33"/>
  <c r="Q10" i="33" s="1"/>
  <c r="N10" i="33"/>
  <c r="O10" i="33" s="1"/>
  <c r="P9" i="33"/>
  <c r="Q9" i="33" s="1"/>
  <c r="N9" i="33"/>
  <c r="O9" i="33" s="1"/>
  <c r="P8" i="33"/>
  <c r="Q8" i="33" s="1"/>
  <c r="N8" i="33"/>
  <c r="O8" i="33" s="1"/>
  <c r="P7" i="33"/>
  <c r="Q7" i="33" s="1"/>
  <c r="N7" i="33"/>
  <c r="O7" i="33" s="1"/>
  <c r="P6" i="33"/>
  <c r="Q6" i="33" s="1"/>
  <c r="N6" i="33"/>
  <c r="O6" i="33" s="1"/>
  <c r="P117" i="34"/>
  <c r="N117" i="34"/>
  <c r="Q9" i="30"/>
  <c r="O9" i="30"/>
  <c r="R28" i="33"/>
  <c r="S28" i="33" s="1"/>
  <c r="R8" i="30"/>
  <c r="P8" i="30"/>
  <c r="R7" i="30"/>
  <c r="P7" i="30"/>
  <c r="Q8" i="29"/>
  <c r="O8" i="29"/>
  <c r="R7" i="29"/>
  <c r="P7" i="29"/>
  <c r="P100" i="34"/>
  <c r="N100" i="34"/>
  <c r="Q8" i="31"/>
  <c r="O8" i="31"/>
  <c r="R7" i="31"/>
  <c r="P7" i="31"/>
  <c r="P89" i="34"/>
  <c r="N89" i="34"/>
  <c r="R14" i="19"/>
  <c r="R7" i="19"/>
  <c r="R9" i="19"/>
  <c r="R10" i="19"/>
  <c r="R11" i="19"/>
  <c r="R12" i="19"/>
  <c r="R13" i="19"/>
  <c r="Q16" i="19"/>
  <c r="R35" i="33"/>
  <c r="R41" i="33"/>
  <c r="S41" i="33" s="1"/>
  <c r="O16" i="19"/>
  <c r="P14" i="19"/>
  <c r="P13" i="19"/>
  <c r="P12" i="19"/>
  <c r="P11" i="19"/>
  <c r="P10" i="19"/>
  <c r="P9" i="19"/>
  <c r="P7" i="19"/>
  <c r="P80" i="34"/>
  <c r="N80" i="34"/>
  <c r="Q14" i="20"/>
  <c r="O14" i="20"/>
  <c r="R71" i="33"/>
  <c r="S71" i="33" s="1"/>
  <c r="R13" i="20"/>
  <c r="P13" i="20"/>
  <c r="R75" i="33"/>
  <c r="S75" i="33" s="1"/>
  <c r="R12" i="20"/>
  <c r="P12" i="20"/>
  <c r="R74" i="33"/>
  <c r="S74" i="33" s="1"/>
  <c r="R11" i="20"/>
  <c r="P11" i="20"/>
  <c r="R10" i="20"/>
  <c r="P10" i="20"/>
  <c r="R72" i="33"/>
  <c r="S72" i="33" s="1"/>
  <c r="R9" i="20"/>
  <c r="P9" i="20"/>
  <c r="R73" i="33"/>
  <c r="S73" i="33" s="1"/>
  <c r="R8" i="20"/>
  <c r="P8" i="20"/>
  <c r="R69" i="33"/>
  <c r="S69" i="33" s="1"/>
  <c r="R7" i="20"/>
  <c r="P7" i="20"/>
  <c r="Q29" i="32"/>
  <c r="O29" i="32"/>
  <c r="R23" i="33"/>
  <c r="S23" i="33" s="1"/>
  <c r="R28" i="32"/>
  <c r="P28" i="32"/>
  <c r="R22" i="33"/>
  <c r="S22" i="33" s="1"/>
  <c r="R27" i="32"/>
  <c r="P27" i="32"/>
  <c r="R21" i="33"/>
  <c r="S21" i="33" s="1"/>
  <c r="R26" i="32"/>
  <c r="P26" i="32"/>
  <c r="R20" i="33"/>
  <c r="S20" i="33" s="1"/>
  <c r="R25" i="32"/>
  <c r="P25" i="32"/>
  <c r="R19" i="33"/>
  <c r="S19" i="33" s="1"/>
  <c r="R24" i="32"/>
  <c r="P24" i="32"/>
  <c r="R18" i="33"/>
  <c r="S18" i="33" s="1"/>
  <c r="R23" i="32"/>
  <c r="P23" i="32"/>
  <c r="R17" i="33"/>
  <c r="S17" i="33" s="1"/>
  <c r="R22" i="32"/>
  <c r="P22" i="32"/>
  <c r="Q17" i="32"/>
  <c r="O17" i="32"/>
  <c r="R16" i="32"/>
  <c r="P16" i="32"/>
  <c r="R15" i="32"/>
  <c r="P15" i="32"/>
  <c r="R14" i="32"/>
  <c r="P14" i="32"/>
  <c r="R13" i="32"/>
  <c r="P13" i="32"/>
  <c r="R12" i="32"/>
  <c r="P12" i="32"/>
  <c r="R11" i="32"/>
  <c r="P11" i="32"/>
  <c r="R10" i="32"/>
  <c r="P10" i="32"/>
  <c r="R9" i="32"/>
  <c r="P9" i="32"/>
  <c r="R8" i="32"/>
  <c r="P8" i="32"/>
  <c r="R7" i="32"/>
  <c r="P7" i="32"/>
  <c r="Q7" i="21"/>
  <c r="R7" i="21" s="1"/>
  <c r="O15" i="21"/>
  <c r="M15" i="21"/>
  <c r="Q14" i="21"/>
  <c r="R14" i="21" s="1"/>
  <c r="P14" i="21"/>
  <c r="N14" i="21"/>
  <c r="Q13" i="21"/>
  <c r="R13" i="21" s="1"/>
  <c r="P13" i="21"/>
  <c r="N13" i="21"/>
  <c r="Q12" i="21"/>
  <c r="R12" i="21" s="1"/>
  <c r="P12" i="21"/>
  <c r="N12" i="21"/>
  <c r="Q11" i="21"/>
  <c r="R11" i="21" s="1"/>
  <c r="P11" i="21"/>
  <c r="N11" i="21"/>
  <c r="Q10" i="21"/>
  <c r="R10" i="21" s="1"/>
  <c r="P10" i="21"/>
  <c r="N10" i="21"/>
  <c r="Q9" i="21"/>
  <c r="R9" i="21" s="1"/>
  <c r="P9" i="21"/>
  <c r="N9" i="21"/>
  <c r="Q8" i="21"/>
  <c r="R8" i="21" s="1"/>
  <c r="P8" i="21"/>
  <c r="N8" i="21"/>
  <c r="P7" i="21"/>
  <c r="N7" i="21"/>
  <c r="O9" i="24"/>
  <c r="M9" i="24"/>
  <c r="Q8" i="24"/>
  <c r="R8" i="24" s="1"/>
  <c r="P8" i="24"/>
  <c r="N8" i="24"/>
  <c r="Q7" i="24"/>
  <c r="R7" i="24" s="1"/>
  <c r="P7" i="24"/>
  <c r="N7" i="24"/>
  <c r="O9" i="23"/>
  <c r="M9" i="23"/>
  <c r="Q8" i="23"/>
  <c r="R8" i="23" s="1"/>
  <c r="P8" i="23"/>
  <c r="N8" i="23"/>
  <c r="Q7" i="23"/>
  <c r="R7" i="23" s="1"/>
  <c r="P7" i="23"/>
  <c r="N7" i="23"/>
  <c r="O9" i="22"/>
  <c r="M9" i="22"/>
  <c r="Q8" i="22"/>
  <c r="R8" i="22" s="1"/>
  <c r="P8" i="22"/>
  <c r="N8" i="22"/>
  <c r="Q7" i="22"/>
  <c r="R7" i="22" s="1"/>
  <c r="P7" i="22"/>
  <c r="N7" i="22"/>
  <c r="P50" i="34"/>
  <c r="N50" i="34"/>
  <c r="Q11" i="25"/>
  <c r="P33" i="38" s="1"/>
  <c r="O11" i="25"/>
  <c r="N33" i="38" s="1"/>
  <c r="R7" i="25"/>
  <c r="P7" i="25"/>
  <c r="Q10" i="14"/>
  <c r="O10" i="14"/>
  <c r="R9" i="14"/>
  <c r="P9" i="14"/>
  <c r="R8" i="14"/>
  <c r="P8" i="14"/>
  <c r="R7" i="14"/>
  <c r="P7" i="14"/>
  <c r="Q12" i="13"/>
  <c r="R11" i="13"/>
  <c r="P11" i="13"/>
  <c r="R10" i="13"/>
  <c r="P10" i="13"/>
  <c r="R9" i="13"/>
  <c r="P9" i="13"/>
  <c r="R8" i="13"/>
  <c r="P8" i="13"/>
  <c r="R7" i="13"/>
  <c r="P7" i="13"/>
  <c r="R7" i="12"/>
  <c r="Q15" i="12"/>
  <c r="O15" i="12"/>
  <c r="R47" i="33"/>
  <c r="S47" i="33" s="1"/>
  <c r="R14" i="12"/>
  <c r="P14" i="12"/>
  <c r="R13" i="12"/>
  <c r="P13" i="12"/>
  <c r="R48" i="33"/>
  <c r="S48" i="33" s="1"/>
  <c r="R12" i="12"/>
  <c r="P12" i="12"/>
  <c r="R11" i="12"/>
  <c r="P11" i="12"/>
  <c r="R10" i="12"/>
  <c r="P10" i="12"/>
  <c r="R9" i="12"/>
  <c r="P9" i="12"/>
  <c r="R8" i="12"/>
  <c r="P8" i="12"/>
  <c r="P7" i="12"/>
  <c r="P72" i="34" l="1"/>
  <c r="P106" i="34"/>
  <c r="P32" i="33"/>
  <c r="Q32" i="33" s="1"/>
  <c r="R6" i="33"/>
  <c r="S6" i="33" s="1"/>
  <c r="N32" i="33"/>
  <c r="O32" i="33" s="1"/>
  <c r="N72" i="34"/>
  <c r="N106" i="34"/>
  <c r="R30" i="33"/>
  <c r="S30" i="33" s="1"/>
  <c r="P18" i="34"/>
  <c r="R8" i="33"/>
  <c r="S8" i="33" s="1"/>
  <c r="R10" i="33"/>
  <c r="S10" i="33" s="1"/>
  <c r="R12" i="33"/>
  <c r="S12" i="33" s="1"/>
  <c r="R14" i="33"/>
  <c r="S14" i="33" s="1"/>
  <c r="R7" i="33"/>
  <c r="S7" i="33" s="1"/>
  <c r="R9" i="33"/>
  <c r="S9" i="33" s="1"/>
  <c r="R11" i="33"/>
  <c r="S11" i="33" s="1"/>
  <c r="R13" i="33"/>
  <c r="S13" i="33" s="1"/>
  <c r="R15" i="33"/>
  <c r="S15" i="33" s="1"/>
  <c r="R25" i="33"/>
  <c r="S25" i="33" s="1"/>
  <c r="R70" i="33"/>
  <c r="S70" i="33" s="1"/>
  <c r="R27" i="33"/>
  <c r="S27" i="33" s="1"/>
  <c r="R34" i="33"/>
  <c r="S34" i="33" s="1"/>
  <c r="R36" i="33"/>
  <c r="S36" i="33" s="1"/>
  <c r="R37" i="33"/>
  <c r="S37" i="33" s="1"/>
  <c r="R38" i="33"/>
  <c r="S38" i="33" s="1"/>
  <c r="R39" i="33"/>
  <c r="S39" i="33" s="1"/>
  <c r="R40" i="33"/>
  <c r="S40" i="33" s="1"/>
  <c r="N18" i="34"/>
  <c r="P45" i="34"/>
  <c r="N45" i="34"/>
  <c r="Q12" i="11"/>
  <c r="O12" i="11"/>
  <c r="R11" i="11"/>
  <c r="P11" i="11"/>
  <c r="R10" i="11"/>
  <c r="P10" i="11"/>
  <c r="R9" i="11"/>
  <c r="P9" i="11"/>
  <c r="R8" i="11"/>
  <c r="P8" i="11"/>
  <c r="R7" i="11"/>
  <c r="P7" i="11"/>
  <c r="Q12" i="10"/>
  <c r="R11" i="10"/>
  <c r="P11" i="10"/>
  <c r="R10" i="10"/>
  <c r="P10" i="10"/>
  <c r="R9" i="10"/>
  <c r="P9" i="10"/>
  <c r="R8" i="10"/>
  <c r="P8" i="10"/>
  <c r="R7" i="10"/>
  <c r="P7" i="10"/>
  <c r="Q13" i="9"/>
  <c r="O13" i="9"/>
  <c r="R12" i="9"/>
  <c r="P12" i="9"/>
  <c r="R9" i="9"/>
  <c r="P9" i="9"/>
  <c r="R8" i="9"/>
  <c r="P8" i="9"/>
  <c r="R7" i="9"/>
  <c r="P7" i="9"/>
  <c r="Q12" i="8"/>
  <c r="O12" i="8"/>
  <c r="R11" i="8"/>
  <c r="P11" i="8"/>
  <c r="R10" i="8"/>
  <c r="P10" i="8"/>
  <c r="R9" i="8"/>
  <c r="P9" i="8"/>
  <c r="R8" i="8"/>
  <c r="P8" i="8"/>
  <c r="R7" i="8"/>
  <c r="P7" i="8"/>
  <c r="O15" i="7"/>
  <c r="R12" i="7"/>
  <c r="P12" i="7"/>
  <c r="R11" i="7"/>
  <c r="P11" i="7"/>
  <c r="R10" i="7"/>
  <c r="P10" i="7"/>
  <c r="R9" i="7"/>
  <c r="P9" i="7"/>
  <c r="R8" i="7"/>
  <c r="P8" i="7"/>
  <c r="R7" i="7"/>
  <c r="P7" i="7"/>
  <c r="Q13" i="6"/>
  <c r="O13" i="6"/>
  <c r="R12" i="6"/>
  <c r="P12" i="6"/>
  <c r="R11" i="6"/>
  <c r="P11" i="6"/>
  <c r="R10" i="6"/>
  <c r="P10" i="6"/>
  <c r="R9" i="6"/>
  <c r="P9" i="6"/>
  <c r="R8" i="6"/>
  <c r="P8" i="6"/>
  <c r="R7" i="6"/>
  <c r="P7" i="6"/>
  <c r="P7" i="5"/>
  <c r="Q11" i="5"/>
  <c r="O11" i="5"/>
  <c r="R10" i="5"/>
  <c r="P10" i="5"/>
  <c r="R9" i="5"/>
  <c r="P9" i="5"/>
  <c r="R8" i="5"/>
  <c r="P8" i="5"/>
  <c r="R7" i="5"/>
  <c r="R7" i="4"/>
  <c r="P8" i="4"/>
  <c r="P7" i="4"/>
  <c r="Q13" i="4"/>
  <c r="O13" i="4"/>
  <c r="R12" i="4"/>
  <c r="P12" i="4"/>
  <c r="R11" i="4"/>
  <c r="P11" i="4"/>
  <c r="R10" i="4"/>
  <c r="P10" i="4"/>
  <c r="R9" i="4"/>
  <c r="P9" i="4"/>
  <c r="R8" i="4"/>
  <c r="P26" i="34"/>
  <c r="N26" i="34"/>
  <c r="Y8" i="27"/>
  <c r="U10" i="27"/>
  <c r="S11" i="27"/>
  <c r="S7" i="27"/>
  <c r="Q12" i="27"/>
  <c r="Q9" i="27"/>
  <c r="Q5" i="27"/>
  <c r="O10" i="27"/>
  <c r="O6" i="27"/>
  <c r="M8" i="27"/>
  <c r="Q17" i="3"/>
  <c r="O17" i="3"/>
  <c r="R16" i="3"/>
  <c r="P16" i="3"/>
  <c r="R15" i="3"/>
  <c r="P15" i="3"/>
  <c r="R14" i="3"/>
  <c r="P14" i="3"/>
  <c r="R13" i="3"/>
  <c r="P13" i="3"/>
  <c r="R12" i="3"/>
  <c r="P12" i="3"/>
  <c r="R11" i="3"/>
  <c r="P11" i="3"/>
  <c r="R10" i="3"/>
  <c r="P10" i="3"/>
  <c r="R9" i="3"/>
  <c r="P9" i="3"/>
  <c r="R8" i="3"/>
  <c r="P8" i="3"/>
  <c r="R7" i="3"/>
  <c r="P7" i="3"/>
  <c r="R56" i="33"/>
  <c r="S56" i="33" s="1"/>
  <c r="Q16" i="2"/>
  <c r="O16" i="2"/>
  <c r="R15" i="2"/>
  <c r="P15" i="2"/>
  <c r="R14" i="2"/>
  <c r="P14" i="2"/>
  <c r="R13" i="2"/>
  <c r="P13" i="2"/>
  <c r="R12" i="2"/>
  <c r="P12" i="2"/>
  <c r="R11" i="2"/>
  <c r="P11" i="2"/>
  <c r="R10" i="2"/>
  <c r="P10" i="2"/>
  <c r="R9" i="2"/>
  <c r="P9" i="2"/>
  <c r="R8" i="2"/>
  <c r="P8" i="2"/>
  <c r="R7" i="2"/>
  <c r="P7" i="2"/>
  <c r="N7" i="2"/>
  <c r="Y11" i="27"/>
  <c r="Y5" i="27"/>
  <c r="W12" i="27"/>
  <c r="W9" i="27"/>
  <c r="U6" i="27"/>
  <c r="W5" i="27"/>
  <c r="U5" i="27"/>
  <c r="S5" i="27"/>
  <c r="M11" i="27"/>
  <c r="O5" i="27"/>
  <c r="M5" i="27"/>
  <c r="R49" i="33" l="1"/>
  <c r="S49" i="33" s="1"/>
  <c r="R50" i="33"/>
  <c r="S50" i="33" s="1"/>
  <c r="R51" i="33"/>
  <c r="S51" i="33" s="1"/>
  <c r="R45" i="33"/>
  <c r="S45" i="33" s="1"/>
  <c r="R44" i="33"/>
  <c r="S44" i="33" s="1"/>
  <c r="R43" i="33"/>
  <c r="R46" i="33"/>
  <c r="S46" i="33" s="1"/>
  <c r="R58" i="33"/>
  <c r="S58" i="33" s="1"/>
  <c r="R57" i="33"/>
  <c r="S57" i="33" s="1"/>
  <c r="R63" i="33"/>
  <c r="S63" i="33" s="1"/>
  <c r="R59" i="33"/>
  <c r="S59" i="33" s="1"/>
  <c r="R62" i="33"/>
  <c r="S62" i="33" s="1"/>
  <c r="R54" i="33"/>
  <c r="S54" i="33" s="1"/>
  <c r="R55" i="33"/>
  <c r="S55" i="33" s="1"/>
  <c r="R64" i="33"/>
  <c r="S64" i="33" s="1"/>
  <c r="R61" i="33"/>
  <c r="S61" i="33" s="1"/>
  <c r="R60" i="33"/>
  <c r="S60" i="33" s="1"/>
  <c r="Q13" i="27"/>
  <c r="W13" i="27"/>
  <c r="Y13" i="27"/>
  <c r="U13" i="27"/>
  <c r="M13" i="27"/>
  <c r="O13" i="27"/>
  <c r="S13" i="27"/>
  <c r="S15" i="38"/>
  <c r="S14" i="38"/>
  <c r="S13" i="38"/>
  <c r="S12" i="38"/>
  <c r="S11" i="38"/>
  <c r="S10" i="38"/>
  <c r="S9" i="38"/>
  <c r="S8" i="38"/>
  <c r="S7" i="38"/>
  <c r="R16" i="38"/>
  <c r="Q76" i="38"/>
  <c r="Q75" i="38"/>
  <c r="Q74" i="38"/>
  <c r="Q73" i="38"/>
  <c r="Q72" i="38"/>
  <c r="Q71" i="38"/>
  <c r="Q70" i="38"/>
  <c r="O65" i="38"/>
  <c r="O64" i="38"/>
  <c r="O63" i="38"/>
  <c r="O62" i="38"/>
  <c r="O61" i="38"/>
  <c r="O60" i="38"/>
  <c r="O59" i="38"/>
  <c r="O58" i="38"/>
  <c r="O57" i="38"/>
  <c r="O56" i="38"/>
  <c r="O55" i="38"/>
  <c r="Q52" i="38"/>
  <c r="Q51" i="38"/>
  <c r="Q50" i="38"/>
  <c r="O50" i="38"/>
  <c r="Q49" i="38"/>
  <c r="Q48" i="38"/>
  <c r="Q47" i="38"/>
  <c r="Q46" i="38"/>
  <c r="Q45" i="38"/>
  <c r="Q42" i="38"/>
  <c r="Q41" i="38"/>
  <c r="Q40" i="38"/>
  <c r="Q39" i="38"/>
  <c r="Q38" i="38"/>
  <c r="Q37" i="38"/>
  <c r="Q35" i="38"/>
  <c r="Q33" i="38"/>
  <c r="Q31" i="38"/>
  <c r="Q29" i="38"/>
  <c r="Q28" i="38"/>
  <c r="Q26" i="38"/>
  <c r="Q24" i="38"/>
  <c r="Q23" i="38"/>
  <c r="Q22" i="38"/>
  <c r="Q21" i="38"/>
  <c r="Q20" i="38"/>
  <c r="Q19" i="38"/>
  <c r="Q18" i="38"/>
  <c r="Q15" i="38"/>
  <c r="O15" i="38"/>
  <c r="Q14" i="38"/>
  <c r="O14" i="38"/>
  <c r="Q13" i="38"/>
  <c r="O13" i="38"/>
  <c r="Q12" i="38"/>
  <c r="Q11" i="38"/>
  <c r="Q10" i="38"/>
  <c r="Q9" i="38"/>
  <c r="Q8" i="38"/>
  <c r="Q7" i="38"/>
  <c r="Q6" i="38"/>
  <c r="C16" i="38"/>
  <c r="L76" i="38"/>
  <c r="H76" i="38"/>
  <c r="I76" i="38" s="1"/>
  <c r="F76" i="38"/>
  <c r="G76" i="38" s="1"/>
  <c r="D76" i="38"/>
  <c r="E76" i="38" s="1"/>
  <c r="L75" i="38"/>
  <c r="H75" i="38"/>
  <c r="I75" i="38" s="1"/>
  <c r="F75" i="38"/>
  <c r="G75" i="38" s="1"/>
  <c r="D75" i="38"/>
  <c r="E75" i="38" s="1"/>
  <c r="L74" i="38"/>
  <c r="H74" i="38"/>
  <c r="I74" i="38" s="1"/>
  <c r="F74" i="38"/>
  <c r="G74" i="38" s="1"/>
  <c r="D74" i="38"/>
  <c r="E74" i="38" s="1"/>
  <c r="L73" i="38"/>
  <c r="H73" i="38"/>
  <c r="I73" i="38" s="1"/>
  <c r="F73" i="38"/>
  <c r="G73" i="38" s="1"/>
  <c r="D73" i="38"/>
  <c r="E73" i="38" s="1"/>
  <c r="L72" i="38"/>
  <c r="H72" i="38"/>
  <c r="I72" i="38" s="1"/>
  <c r="F72" i="38"/>
  <c r="G72" i="38" s="1"/>
  <c r="D72" i="38"/>
  <c r="E72" i="38" s="1"/>
  <c r="L71" i="38"/>
  <c r="H71" i="38"/>
  <c r="I71" i="38" s="1"/>
  <c r="F71" i="38"/>
  <c r="G71" i="38" s="1"/>
  <c r="D71" i="38"/>
  <c r="E71" i="38" s="1"/>
  <c r="L70" i="38"/>
  <c r="H70" i="38"/>
  <c r="I70" i="38" s="1"/>
  <c r="F70" i="38"/>
  <c r="G70" i="38" s="1"/>
  <c r="D70" i="38"/>
  <c r="E70" i="38" s="1"/>
  <c r="L65" i="38"/>
  <c r="H65" i="38"/>
  <c r="I65" i="38" s="1"/>
  <c r="F65" i="38"/>
  <c r="G65" i="38" s="1"/>
  <c r="D65" i="38"/>
  <c r="E65" i="38" s="1"/>
  <c r="L64" i="38"/>
  <c r="H64" i="38"/>
  <c r="I64" i="38" s="1"/>
  <c r="F64" i="38"/>
  <c r="G64" i="38" s="1"/>
  <c r="D64" i="38"/>
  <c r="E64" i="38" s="1"/>
  <c r="L63" i="38"/>
  <c r="H63" i="38"/>
  <c r="I63" i="38" s="1"/>
  <c r="F63" i="38"/>
  <c r="G63" i="38" s="1"/>
  <c r="D63" i="38"/>
  <c r="E63" i="38" s="1"/>
  <c r="L62" i="38"/>
  <c r="H62" i="38"/>
  <c r="I62" i="38" s="1"/>
  <c r="F62" i="38"/>
  <c r="G62" i="38" s="1"/>
  <c r="D62" i="38"/>
  <c r="E62" i="38" s="1"/>
  <c r="L61" i="38"/>
  <c r="H61" i="38"/>
  <c r="I61" i="38" s="1"/>
  <c r="F61" i="38"/>
  <c r="G61" i="38" s="1"/>
  <c r="D61" i="38"/>
  <c r="E61" i="38" s="1"/>
  <c r="L60" i="38"/>
  <c r="H60" i="38"/>
  <c r="I60" i="38" s="1"/>
  <c r="F60" i="38"/>
  <c r="G60" i="38" s="1"/>
  <c r="D60" i="38"/>
  <c r="E60" i="38" s="1"/>
  <c r="L59" i="38"/>
  <c r="H59" i="38"/>
  <c r="I59" i="38" s="1"/>
  <c r="F59" i="38"/>
  <c r="G59" i="38" s="1"/>
  <c r="D59" i="38"/>
  <c r="E59" i="38" s="1"/>
  <c r="L58" i="38"/>
  <c r="H58" i="38"/>
  <c r="I58" i="38" s="1"/>
  <c r="F58" i="38"/>
  <c r="G58" i="38" s="1"/>
  <c r="D58" i="38"/>
  <c r="E58" i="38" s="1"/>
  <c r="L57" i="38"/>
  <c r="H57" i="38"/>
  <c r="I57" i="38" s="1"/>
  <c r="F57" i="38"/>
  <c r="G57" i="38" s="1"/>
  <c r="D57" i="38"/>
  <c r="E57" i="38" s="1"/>
  <c r="L56" i="38"/>
  <c r="H56" i="38"/>
  <c r="I56" i="38" s="1"/>
  <c r="F56" i="38"/>
  <c r="G56" i="38" s="1"/>
  <c r="D56" i="38"/>
  <c r="E56" i="38" s="1"/>
  <c r="L55" i="38"/>
  <c r="H55" i="38"/>
  <c r="I55" i="38" s="1"/>
  <c r="F55" i="38"/>
  <c r="G55" i="38" s="1"/>
  <c r="D55" i="38"/>
  <c r="E55" i="38" s="1"/>
  <c r="L52" i="38"/>
  <c r="H52" i="38"/>
  <c r="I52" i="38" s="1"/>
  <c r="F52" i="38"/>
  <c r="G52" i="38" s="1"/>
  <c r="D52" i="38"/>
  <c r="E52" i="38" s="1"/>
  <c r="L51" i="38"/>
  <c r="H51" i="38"/>
  <c r="I51" i="38" s="1"/>
  <c r="F51" i="38"/>
  <c r="G51" i="38" s="1"/>
  <c r="D51" i="38"/>
  <c r="E51" i="38" s="1"/>
  <c r="L50" i="38"/>
  <c r="H50" i="38"/>
  <c r="I50" i="38" s="1"/>
  <c r="F50" i="38"/>
  <c r="G50" i="38" s="1"/>
  <c r="D50" i="38"/>
  <c r="E50" i="38" s="1"/>
  <c r="L49" i="38"/>
  <c r="H49" i="38"/>
  <c r="I49" i="38" s="1"/>
  <c r="F49" i="38"/>
  <c r="G49" i="38" s="1"/>
  <c r="D49" i="38"/>
  <c r="E49" i="38" s="1"/>
  <c r="L48" i="38"/>
  <c r="H48" i="38"/>
  <c r="I48" i="38" s="1"/>
  <c r="F48" i="38"/>
  <c r="G48" i="38" s="1"/>
  <c r="D48" i="38"/>
  <c r="E48" i="38" s="1"/>
  <c r="L47" i="38"/>
  <c r="H47" i="38"/>
  <c r="I47" i="38" s="1"/>
  <c r="F47" i="38"/>
  <c r="G47" i="38" s="1"/>
  <c r="D47" i="38"/>
  <c r="E47" i="38" s="1"/>
  <c r="L46" i="38"/>
  <c r="H46" i="38"/>
  <c r="I46" i="38" s="1"/>
  <c r="F46" i="38"/>
  <c r="G46" i="38" s="1"/>
  <c r="D46" i="38"/>
  <c r="E46" i="38" s="1"/>
  <c r="L45" i="38"/>
  <c r="H45" i="38"/>
  <c r="I45" i="38" s="1"/>
  <c r="F45" i="38"/>
  <c r="G45" i="38" s="1"/>
  <c r="D45" i="38"/>
  <c r="E45" i="38" s="1"/>
  <c r="L44" i="38"/>
  <c r="R44" i="38" s="1"/>
  <c r="H44" i="38"/>
  <c r="F44" i="38"/>
  <c r="D44" i="38"/>
  <c r="C44" i="38"/>
  <c r="L42" i="38"/>
  <c r="H42" i="38"/>
  <c r="I42" i="38" s="1"/>
  <c r="F42" i="38"/>
  <c r="G42" i="38" s="1"/>
  <c r="D42" i="38"/>
  <c r="E42" i="38" s="1"/>
  <c r="L41" i="38"/>
  <c r="H41" i="38"/>
  <c r="I41" i="38" s="1"/>
  <c r="F41" i="38"/>
  <c r="G41" i="38" s="1"/>
  <c r="D41" i="38"/>
  <c r="E41" i="38" s="1"/>
  <c r="L40" i="38"/>
  <c r="H40" i="38"/>
  <c r="I40" i="38" s="1"/>
  <c r="F40" i="38"/>
  <c r="G40" i="38" s="1"/>
  <c r="D40" i="38"/>
  <c r="E40" i="38" s="1"/>
  <c r="L39" i="38"/>
  <c r="H39" i="38"/>
  <c r="I39" i="38" s="1"/>
  <c r="F39" i="38"/>
  <c r="G39" i="38" s="1"/>
  <c r="D39" i="38"/>
  <c r="E39" i="38" s="1"/>
  <c r="L38" i="38"/>
  <c r="H38" i="38"/>
  <c r="I38" i="38" s="1"/>
  <c r="F38" i="38"/>
  <c r="G38" i="38" s="1"/>
  <c r="D38" i="38"/>
  <c r="E38" i="38" s="1"/>
  <c r="L37" i="38"/>
  <c r="H37" i="38"/>
  <c r="I37" i="38" s="1"/>
  <c r="F37" i="38"/>
  <c r="G37" i="38" s="1"/>
  <c r="D37" i="38"/>
  <c r="E37" i="38" s="1"/>
  <c r="L36" i="38"/>
  <c r="R36" i="38" s="1"/>
  <c r="H36" i="38"/>
  <c r="F36" i="38"/>
  <c r="D36" i="38"/>
  <c r="L35" i="38"/>
  <c r="H35" i="38"/>
  <c r="I35" i="38" s="1"/>
  <c r="F35" i="38"/>
  <c r="G35" i="38" s="1"/>
  <c r="D35" i="38"/>
  <c r="E35" i="38" s="1"/>
  <c r="L31" i="38"/>
  <c r="H31" i="38"/>
  <c r="I31" i="38" s="1"/>
  <c r="F31" i="38"/>
  <c r="G31" i="38" s="1"/>
  <c r="D31" i="38"/>
  <c r="E31" i="38" s="1"/>
  <c r="L29" i="38"/>
  <c r="H29" i="38"/>
  <c r="I29" i="38" s="1"/>
  <c r="F29" i="38"/>
  <c r="G29" i="38" s="1"/>
  <c r="D29" i="38"/>
  <c r="E29" i="38" s="1"/>
  <c r="L28" i="38"/>
  <c r="H28" i="38"/>
  <c r="I28" i="38" s="1"/>
  <c r="F28" i="38"/>
  <c r="G28" i="38" s="1"/>
  <c r="D28" i="38"/>
  <c r="E28" i="38" s="1"/>
  <c r="L26" i="38"/>
  <c r="H26" i="38"/>
  <c r="I26" i="38" s="1"/>
  <c r="F26" i="38"/>
  <c r="G26" i="38" s="1"/>
  <c r="D26" i="38"/>
  <c r="E26" i="38" s="1"/>
  <c r="L24" i="38"/>
  <c r="H24" i="38"/>
  <c r="I24" i="38" s="1"/>
  <c r="F24" i="38"/>
  <c r="G24" i="38" s="1"/>
  <c r="D24" i="38"/>
  <c r="E24" i="38" s="1"/>
  <c r="L23" i="38"/>
  <c r="H23" i="38"/>
  <c r="I23" i="38" s="1"/>
  <c r="F23" i="38"/>
  <c r="G23" i="38" s="1"/>
  <c r="D23" i="38"/>
  <c r="E23" i="38" s="1"/>
  <c r="L22" i="38"/>
  <c r="H22" i="38"/>
  <c r="I22" i="38" s="1"/>
  <c r="F22" i="38"/>
  <c r="G22" i="38" s="1"/>
  <c r="D22" i="38"/>
  <c r="E22" i="38" s="1"/>
  <c r="L21" i="38"/>
  <c r="H21" i="38"/>
  <c r="I21" i="38" s="1"/>
  <c r="F21" i="38"/>
  <c r="G21" i="38" s="1"/>
  <c r="D21" i="38"/>
  <c r="E21" i="38" s="1"/>
  <c r="L20" i="38"/>
  <c r="H20" i="38"/>
  <c r="I20" i="38" s="1"/>
  <c r="F20" i="38"/>
  <c r="G20" i="38" s="1"/>
  <c r="D20" i="38"/>
  <c r="E20" i="38" s="1"/>
  <c r="L19" i="38"/>
  <c r="H19" i="38"/>
  <c r="I19" i="38" s="1"/>
  <c r="F19" i="38"/>
  <c r="G19" i="38" s="1"/>
  <c r="D19" i="38"/>
  <c r="E19" i="38" s="1"/>
  <c r="L18" i="38"/>
  <c r="H18" i="38"/>
  <c r="I18" i="38" s="1"/>
  <c r="F18" i="38"/>
  <c r="G18" i="38" s="1"/>
  <c r="D18" i="38"/>
  <c r="E18" i="38" s="1"/>
  <c r="M15" i="38"/>
  <c r="H15" i="38"/>
  <c r="I15" i="38" s="1"/>
  <c r="F15" i="38"/>
  <c r="G15" i="38" s="1"/>
  <c r="D15" i="38"/>
  <c r="E15" i="38" s="1"/>
  <c r="M14" i="38"/>
  <c r="H14" i="38"/>
  <c r="I14" i="38" s="1"/>
  <c r="F14" i="38"/>
  <c r="G14" i="38" s="1"/>
  <c r="D14" i="38"/>
  <c r="E14" i="38" s="1"/>
  <c r="M13" i="38"/>
  <c r="H13" i="38"/>
  <c r="I13" i="38" s="1"/>
  <c r="F13" i="38"/>
  <c r="G13" i="38" s="1"/>
  <c r="D13" i="38"/>
  <c r="E13" i="38" s="1"/>
  <c r="H12" i="38"/>
  <c r="I12" i="38" s="1"/>
  <c r="F12" i="38"/>
  <c r="G12" i="38" s="1"/>
  <c r="D12" i="38"/>
  <c r="E12" i="38" s="1"/>
  <c r="M11" i="38"/>
  <c r="H11" i="38"/>
  <c r="I11" i="38" s="1"/>
  <c r="F11" i="38"/>
  <c r="G11" i="38" s="1"/>
  <c r="D11" i="38"/>
  <c r="E11" i="38" s="1"/>
  <c r="M10" i="38"/>
  <c r="H10" i="38"/>
  <c r="I10" i="38" s="1"/>
  <c r="F10" i="38"/>
  <c r="G10" i="38" s="1"/>
  <c r="D10" i="38"/>
  <c r="E10" i="38" s="1"/>
  <c r="M9" i="38"/>
  <c r="H9" i="38"/>
  <c r="I9" i="38" s="1"/>
  <c r="F9" i="38"/>
  <c r="G9" i="38" s="1"/>
  <c r="D9" i="38"/>
  <c r="E9" i="38" s="1"/>
  <c r="M8" i="38"/>
  <c r="H8" i="38"/>
  <c r="I8" i="38" s="1"/>
  <c r="F8" i="38"/>
  <c r="G8" i="38" s="1"/>
  <c r="D8" i="38"/>
  <c r="E8" i="38" s="1"/>
  <c r="M7" i="38"/>
  <c r="H7" i="38"/>
  <c r="I7" i="38" s="1"/>
  <c r="F7" i="38"/>
  <c r="G7" i="38" s="1"/>
  <c r="D7" i="38"/>
  <c r="E7" i="38" s="1"/>
  <c r="M6" i="38"/>
  <c r="H6" i="38"/>
  <c r="I6" i="38" s="1"/>
  <c r="F6" i="38"/>
  <c r="G6" i="38" s="1"/>
  <c r="D6" i="38"/>
  <c r="E6" i="38" s="1"/>
  <c r="C18" i="37"/>
  <c r="C19" i="37" s="1"/>
  <c r="C17" i="37"/>
  <c r="J30" i="36"/>
  <c r="I30" i="36"/>
  <c r="H30" i="36"/>
  <c r="E30" i="36"/>
  <c r="B30" i="36"/>
  <c r="B17" i="36"/>
  <c r="B18" i="36" s="1"/>
  <c r="B16" i="36"/>
  <c r="M12" i="36"/>
  <c r="L12" i="36"/>
  <c r="K12" i="36"/>
  <c r="J12" i="36"/>
  <c r="I12" i="36"/>
  <c r="H12" i="36"/>
  <c r="G12" i="36"/>
  <c r="F12" i="36"/>
  <c r="E12" i="36"/>
  <c r="D10" i="37" l="1"/>
  <c r="E10" i="37" s="1"/>
  <c r="G10" i="37" s="1"/>
  <c r="D12" i="37"/>
  <c r="E12" i="37" s="1"/>
  <c r="G12" i="37" s="1"/>
  <c r="D9" i="37"/>
  <c r="E9" i="37" s="1"/>
  <c r="G9" i="37" s="1"/>
  <c r="D7" i="37"/>
  <c r="D5" i="37"/>
  <c r="E5" i="37" s="1"/>
  <c r="G5" i="37" s="1"/>
  <c r="D4" i="37"/>
  <c r="D13" i="37"/>
  <c r="D11" i="37"/>
  <c r="D8" i="37"/>
  <c r="D6" i="37"/>
  <c r="E6" i="37" s="1"/>
  <c r="G6" i="37" s="1"/>
  <c r="S16" i="38"/>
  <c r="M19" i="38"/>
  <c r="R19" i="38"/>
  <c r="S19" i="38" s="1"/>
  <c r="M21" i="38"/>
  <c r="R21" i="38"/>
  <c r="S21" i="38" s="1"/>
  <c r="M23" i="38"/>
  <c r="R23" i="38"/>
  <c r="S23" i="38" s="1"/>
  <c r="M18" i="38"/>
  <c r="R18" i="38"/>
  <c r="S18" i="38" s="1"/>
  <c r="M20" i="38"/>
  <c r="R20" i="38"/>
  <c r="S20" i="38" s="1"/>
  <c r="M22" i="38"/>
  <c r="R22" i="38"/>
  <c r="S22" i="38" s="1"/>
  <c r="M24" i="38"/>
  <c r="R24" i="38"/>
  <c r="S24" i="38" s="1"/>
  <c r="M26" i="38"/>
  <c r="R26" i="38"/>
  <c r="S26" i="38" s="1"/>
  <c r="M28" i="38"/>
  <c r="R28" i="38"/>
  <c r="S28" i="38" s="1"/>
  <c r="M29" i="38"/>
  <c r="R29" i="38"/>
  <c r="S29" i="38" s="1"/>
  <c r="M71" i="38"/>
  <c r="R71" i="38"/>
  <c r="S71" i="38" s="1"/>
  <c r="M73" i="38"/>
  <c r="R73" i="38"/>
  <c r="S73" i="38" s="1"/>
  <c r="M75" i="38"/>
  <c r="R75" i="38"/>
  <c r="S75" i="38" s="1"/>
  <c r="M70" i="38"/>
  <c r="R70" i="38"/>
  <c r="S70" i="38" s="1"/>
  <c r="M72" i="38"/>
  <c r="R72" i="38"/>
  <c r="S72" i="38" s="1"/>
  <c r="M74" i="38"/>
  <c r="R74" i="38"/>
  <c r="S74" i="38" s="1"/>
  <c r="M76" i="38"/>
  <c r="R76" i="38"/>
  <c r="S76" i="38" s="1"/>
  <c r="M49" i="38"/>
  <c r="R49" i="38"/>
  <c r="S49" i="38" s="1"/>
  <c r="M48" i="38"/>
  <c r="R48" i="38"/>
  <c r="S48" i="38" s="1"/>
  <c r="M50" i="38"/>
  <c r="R50" i="38"/>
  <c r="S50" i="38" s="1"/>
  <c r="M38" i="38"/>
  <c r="R38" i="38"/>
  <c r="S38" i="38" s="1"/>
  <c r="M40" i="38"/>
  <c r="R40" i="38"/>
  <c r="S40" i="38" s="1"/>
  <c r="M42" i="38"/>
  <c r="R42" i="38"/>
  <c r="S42" i="38" s="1"/>
  <c r="M35" i="38"/>
  <c r="R35" i="38"/>
  <c r="S35" i="38" s="1"/>
  <c r="M37" i="38"/>
  <c r="R37" i="38"/>
  <c r="S37" i="38" s="1"/>
  <c r="M39" i="38"/>
  <c r="R39" i="38"/>
  <c r="S39" i="38" s="1"/>
  <c r="M41" i="38"/>
  <c r="R41" i="38"/>
  <c r="S41" i="38" s="1"/>
  <c r="M45" i="38"/>
  <c r="R45" i="38"/>
  <c r="S45" i="38" s="1"/>
  <c r="M47" i="38"/>
  <c r="R47" i="38"/>
  <c r="S47" i="38" s="1"/>
  <c r="M51" i="38"/>
  <c r="R51" i="38"/>
  <c r="S51" i="38" s="1"/>
  <c r="M46" i="38"/>
  <c r="R46" i="38"/>
  <c r="S46" i="38" s="1"/>
  <c r="M52" i="38"/>
  <c r="R52" i="38"/>
  <c r="S52" i="38" s="1"/>
  <c r="M59" i="38"/>
  <c r="P59" i="38"/>
  <c r="Q59" i="38" s="1"/>
  <c r="M58" i="38"/>
  <c r="P58" i="38"/>
  <c r="Q58" i="38" s="1"/>
  <c r="M56" i="38"/>
  <c r="P56" i="38"/>
  <c r="Q56" i="38" s="1"/>
  <c r="M62" i="38"/>
  <c r="P62" i="38"/>
  <c r="Q62" i="38" s="1"/>
  <c r="M55" i="38"/>
  <c r="P55" i="38"/>
  <c r="Q55" i="38" s="1"/>
  <c r="M57" i="38"/>
  <c r="P57" i="38"/>
  <c r="Q57" i="38" s="1"/>
  <c r="M61" i="38"/>
  <c r="P61" i="38"/>
  <c r="Q61" i="38" s="1"/>
  <c r="M63" i="38"/>
  <c r="P63" i="38"/>
  <c r="Q63" i="38" s="1"/>
  <c r="M64" i="38"/>
  <c r="P64" i="38"/>
  <c r="Q64" i="38" s="1"/>
  <c r="M65" i="38"/>
  <c r="P65" i="38"/>
  <c r="Q65" i="38" s="1"/>
  <c r="M60" i="38"/>
  <c r="P60" i="38"/>
  <c r="Q60" i="38" s="1"/>
  <c r="M31" i="38"/>
  <c r="R31" i="38"/>
  <c r="S31" i="38" s="1"/>
  <c r="D16" i="38"/>
  <c r="E16" i="38" s="1"/>
  <c r="H16" i="38"/>
  <c r="I16" i="38" s="1"/>
  <c r="E13" i="37"/>
  <c r="G13" i="37" s="1"/>
  <c r="E4" i="37"/>
  <c r="G4" i="37" s="1"/>
  <c r="E7" i="37"/>
  <c r="G7" i="37" s="1"/>
  <c r="E8" i="37"/>
  <c r="G8" i="37" s="1"/>
  <c r="E11" i="37"/>
  <c r="G11" i="37" s="1"/>
  <c r="F16" i="38"/>
  <c r="G16" i="38" s="1"/>
  <c r="S44" i="38"/>
  <c r="Q44" i="38"/>
  <c r="P16" i="38"/>
  <c r="Q16" i="38" s="1"/>
  <c r="G44" i="38"/>
  <c r="E44" i="38"/>
  <c r="I44" i="38"/>
  <c r="M44" i="38"/>
  <c r="D14" i="37"/>
  <c r="D17" i="37" s="1"/>
  <c r="G24" i="36"/>
  <c r="G30" i="36" s="1"/>
  <c r="D22" i="36"/>
  <c r="D30" i="36" s="1"/>
  <c r="F22" i="36"/>
  <c r="F30" i="36" s="1"/>
  <c r="C22" i="36"/>
  <c r="C30" i="36" s="1"/>
  <c r="R58" i="38" l="1"/>
  <c r="S58" i="38" s="1"/>
  <c r="R59" i="38"/>
  <c r="S59" i="38" s="1"/>
  <c r="R60" i="38"/>
  <c r="S60" i="38" s="1"/>
  <c r="R65" i="38"/>
  <c r="S65" i="38" s="1"/>
  <c r="R64" i="38"/>
  <c r="S64" i="38" s="1"/>
  <c r="R55" i="38"/>
  <c r="S55" i="38" s="1"/>
  <c r="R61" i="38"/>
  <c r="S61" i="38" s="1"/>
  <c r="R56" i="38"/>
  <c r="S56" i="38" s="1"/>
  <c r="R63" i="38"/>
  <c r="S63" i="38" s="1"/>
  <c r="R57" i="38"/>
  <c r="S57" i="38" s="1"/>
  <c r="R62" i="38"/>
  <c r="S62" i="38" s="1"/>
  <c r="H116" i="34"/>
  <c r="H115" i="34"/>
  <c r="H114" i="34"/>
  <c r="H113" i="34"/>
  <c r="H112" i="34"/>
  <c r="H111" i="34"/>
  <c r="H110" i="34"/>
  <c r="H109" i="34"/>
  <c r="H108" i="34"/>
  <c r="H107" i="34"/>
  <c r="H105" i="34"/>
  <c r="H104" i="34"/>
  <c r="H103" i="34"/>
  <c r="H102" i="34"/>
  <c r="H101" i="34"/>
  <c r="H99" i="34"/>
  <c r="H98" i="34"/>
  <c r="H97" i="34"/>
  <c r="H96" i="34"/>
  <c r="H95" i="34"/>
  <c r="H94" i="34"/>
  <c r="H93" i="34"/>
  <c r="H92" i="34"/>
  <c r="H91" i="34"/>
  <c r="H90" i="34"/>
  <c r="H88" i="34"/>
  <c r="H87" i="34"/>
  <c r="H86" i="34"/>
  <c r="H85" i="34"/>
  <c r="H84" i="34"/>
  <c r="H83" i="34"/>
  <c r="H82" i="34"/>
  <c r="H81" i="34"/>
  <c r="H79" i="34"/>
  <c r="H78" i="34"/>
  <c r="H77" i="34"/>
  <c r="H76" i="34"/>
  <c r="H75" i="34"/>
  <c r="H74" i="34"/>
  <c r="H73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49" i="34"/>
  <c r="H48" i="34"/>
  <c r="H47" i="34"/>
  <c r="H46" i="34"/>
  <c r="H44" i="34"/>
  <c r="H43" i="34"/>
  <c r="H42" i="34"/>
  <c r="H41" i="34"/>
  <c r="H40" i="34"/>
  <c r="H39" i="34"/>
  <c r="H36" i="34"/>
  <c r="H35" i="34"/>
  <c r="H34" i="34"/>
  <c r="H33" i="34"/>
  <c r="H32" i="34"/>
  <c r="H31" i="34"/>
  <c r="H30" i="34"/>
  <c r="H29" i="34"/>
  <c r="H28" i="34"/>
  <c r="H27" i="34"/>
  <c r="H25" i="34"/>
  <c r="H24" i="34"/>
  <c r="H23" i="34"/>
  <c r="H22" i="34"/>
  <c r="H21" i="34"/>
  <c r="H20" i="34"/>
  <c r="H19" i="34"/>
  <c r="H17" i="34"/>
  <c r="H16" i="34"/>
  <c r="H15" i="34"/>
  <c r="H14" i="34"/>
  <c r="H13" i="34"/>
  <c r="H12" i="34"/>
  <c r="H11" i="34"/>
  <c r="H10" i="34"/>
  <c r="H9" i="34"/>
  <c r="H8" i="34"/>
  <c r="H7" i="34"/>
  <c r="H6" i="34"/>
  <c r="H5" i="34"/>
  <c r="H4" i="34"/>
  <c r="L15" i="33"/>
  <c r="L14" i="33"/>
  <c r="L13" i="33"/>
  <c r="L11" i="33"/>
  <c r="L10" i="33"/>
  <c r="L9" i="33"/>
  <c r="L8" i="33"/>
  <c r="L7" i="33"/>
  <c r="L6" i="33"/>
  <c r="M6" i="33" s="1"/>
  <c r="H75" i="33"/>
  <c r="I75" i="33" s="1"/>
  <c r="H74" i="33"/>
  <c r="I74" i="33" s="1"/>
  <c r="H73" i="33"/>
  <c r="I73" i="33" s="1"/>
  <c r="H72" i="33"/>
  <c r="H71" i="33"/>
  <c r="I71" i="33" s="1"/>
  <c r="H70" i="33"/>
  <c r="I70" i="33" s="1"/>
  <c r="H69" i="33"/>
  <c r="I69" i="33" s="1"/>
  <c r="H64" i="33"/>
  <c r="H63" i="33"/>
  <c r="H62" i="33"/>
  <c r="H61" i="33"/>
  <c r="H60" i="33"/>
  <c r="H59" i="33"/>
  <c r="H58" i="33"/>
  <c r="H57" i="33"/>
  <c r="H56" i="33"/>
  <c r="H55" i="33"/>
  <c r="H54" i="33"/>
  <c r="H51" i="33"/>
  <c r="I51" i="33" s="1"/>
  <c r="H50" i="33"/>
  <c r="I50" i="33" s="1"/>
  <c r="H49" i="33"/>
  <c r="I49" i="33" s="1"/>
  <c r="H48" i="33"/>
  <c r="I48" i="33" s="1"/>
  <c r="H47" i="33"/>
  <c r="I47" i="33" s="1"/>
  <c r="H46" i="33"/>
  <c r="I46" i="33" s="1"/>
  <c r="H45" i="33"/>
  <c r="I45" i="33" s="1"/>
  <c r="H44" i="33"/>
  <c r="I44" i="33" s="1"/>
  <c r="H43" i="33"/>
  <c r="H41" i="33"/>
  <c r="I41" i="33" s="1"/>
  <c r="H40" i="33"/>
  <c r="I40" i="33" s="1"/>
  <c r="H39" i="33"/>
  <c r="I39" i="33" s="1"/>
  <c r="H38" i="33"/>
  <c r="H37" i="33"/>
  <c r="I37" i="33" s="1"/>
  <c r="H36" i="33"/>
  <c r="I36" i="33" s="1"/>
  <c r="H35" i="33"/>
  <c r="H34" i="33"/>
  <c r="I34" i="33" s="1"/>
  <c r="H30" i="33"/>
  <c r="I30" i="33" s="1"/>
  <c r="H28" i="33"/>
  <c r="I28" i="33" s="1"/>
  <c r="H27" i="33"/>
  <c r="I27" i="33" s="1"/>
  <c r="H25" i="33"/>
  <c r="I25" i="33" s="1"/>
  <c r="H23" i="33"/>
  <c r="H22" i="33"/>
  <c r="I22" i="33" s="1"/>
  <c r="H21" i="33"/>
  <c r="I21" i="33" s="1"/>
  <c r="H20" i="33"/>
  <c r="I20" i="33" s="1"/>
  <c r="H19" i="33"/>
  <c r="H18" i="33"/>
  <c r="I18" i="33" s="1"/>
  <c r="H17" i="33"/>
  <c r="I17" i="33" s="1"/>
  <c r="H6" i="33"/>
  <c r="I6" i="33" s="1"/>
  <c r="H15" i="33"/>
  <c r="H14" i="33"/>
  <c r="I14" i="33" s="1"/>
  <c r="H13" i="33"/>
  <c r="I13" i="33" s="1"/>
  <c r="H12" i="33"/>
  <c r="I12" i="33" s="1"/>
  <c r="H11" i="33"/>
  <c r="H10" i="33"/>
  <c r="I10" i="33" s="1"/>
  <c r="H9" i="33"/>
  <c r="I9" i="33" s="1"/>
  <c r="H8" i="33"/>
  <c r="I8" i="33" s="1"/>
  <c r="H7" i="33"/>
  <c r="I72" i="33"/>
  <c r="I64" i="33"/>
  <c r="I63" i="33"/>
  <c r="I62" i="33"/>
  <c r="I61" i="33"/>
  <c r="I60" i="33"/>
  <c r="I59" i="33"/>
  <c r="I58" i="33"/>
  <c r="I57" i="33"/>
  <c r="I56" i="33"/>
  <c r="I55" i="33"/>
  <c r="I54" i="33"/>
  <c r="I38" i="33"/>
  <c r="I23" i="33"/>
  <c r="I19" i="33"/>
  <c r="I15" i="33"/>
  <c r="I11" i="33"/>
  <c r="I7" i="33"/>
  <c r="H53" i="34" l="1"/>
  <c r="H18" i="34"/>
  <c r="H45" i="34"/>
  <c r="O28" i="38"/>
  <c r="O29" i="38"/>
  <c r="H117" i="34"/>
  <c r="K9" i="30"/>
  <c r="L8" i="30"/>
  <c r="L7" i="30"/>
  <c r="O31" i="38"/>
  <c r="H106" i="34"/>
  <c r="K8" i="29"/>
  <c r="L7" i="29"/>
  <c r="O26" i="38"/>
  <c r="H100" i="34"/>
  <c r="K8" i="31"/>
  <c r="L7" i="31"/>
  <c r="O42" i="38"/>
  <c r="O41" i="38"/>
  <c r="O40" i="38"/>
  <c r="O39" i="38"/>
  <c r="O38" i="38"/>
  <c r="O37" i="38"/>
  <c r="O35" i="38"/>
  <c r="J36" i="38"/>
  <c r="H89" i="34"/>
  <c r="K16" i="19"/>
  <c r="L14" i="19"/>
  <c r="L13" i="19"/>
  <c r="L12" i="19"/>
  <c r="L11" i="19"/>
  <c r="L10" i="19"/>
  <c r="L9" i="19"/>
  <c r="L7" i="19"/>
  <c r="O72" i="38"/>
  <c r="O76" i="38"/>
  <c r="O75" i="38"/>
  <c r="O71" i="38"/>
  <c r="O73" i="38"/>
  <c r="O74" i="38"/>
  <c r="O70" i="38"/>
  <c r="H80" i="34"/>
  <c r="K14" i="20"/>
  <c r="L13" i="20"/>
  <c r="L12" i="20"/>
  <c r="L11" i="20"/>
  <c r="L10" i="20"/>
  <c r="L9" i="20"/>
  <c r="L8" i="20"/>
  <c r="L7" i="20"/>
  <c r="O18" i="38"/>
  <c r="O24" i="38"/>
  <c r="O23" i="38"/>
  <c r="O22" i="38"/>
  <c r="O21" i="38"/>
  <c r="O20" i="38"/>
  <c r="O19" i="38"/>
  <c r="O11" i="38"/>
  <c r="O10" i="38"/>
  <c r="O9" i="38"/>
  <c r="O8" i="38"/>
  <c r="O7" i="38"/>
  <c r="J15" i="38"/>
  <c r="K15" i="38" s="1"/>
  <c r="J14" i="38"/>
  <c r="K14" i="38" s="1"/>
  <c r="J13" i="38"/>
  <c r="K13" i="38" s="1"/>
  <c r="J11" i="38"/>
  <c r="K11" i="38" s="1"/>
  <c r="J10" i="38"/>
  <c r="K10" i="38" s="1"/>
  <c r="J9" i="38"/>
  <c r="K9" i="38" s="1"/>
  <c r="J8" i="38"/>
  <c r="K8" i="38" s="1"/>
  <c r="J7" i="38"/>
  <c r="K7" i="38" s="1"/>
  <c r="K29" i="32"/>
  <c r="L28" i="32"/>
  <c r="L27" i="32"/>
  <c r="L26" i="32"/>
  <c r="L25" i="32"/>
  <c r="L24" i="32"/>
  <c r="L23" i="32"/>
  <c r="L22" i="32"/>
  <c r="H72" i="34"/>
  <c r="K17" i="32"/>
  <c r="L16" i="32"/>
  <c r="L15" i="32"/>
  <c r="L14" i="32"/>
  <c r="L13" i="32"/>
  <c r="L12" i="32"/>
  <c r="L11" i="32"/>
  <c r="L10" i="32"/>
  <c r="L9" i="32"/>
  <c r="L8" i="32"/>
  <c r="L7" i="32"/>
  <c r="I14" i="21"/>
  <c r="J14" i="21" s="1"/>
  <c r="I13" i="21"/>
  <c r="J13" i="21" s="1"/>
  <c r="I12" i="21"/>
  <c r="J12" i="21" s="1"/>
  <c r="I11" i="21"/>
  <c r="J11" i="21" s="1"/>
  <c r="I10" i="21"/>
  <c r="J10" i="21" s="1"/>
  <c r="I9" i="21"/>
  <c r="J9" i="21" s="1"/>
  <c r="I8" i="21"/>
  <c r="J8" i="21" s="1"/>
  <c r="I7" i="21"/>
  <c r="J7" i="21" s="1"/>
  <c r="G15" i="21"/>
  <c r="H14" i="21"/>
  <c r="H13" i="21"/>
  <c r="H12" i="21"/>
  <c r="H11" i="21"/>
  <c r="H10" i="21"/>
  <c r="H9" i="21"/>
  <c r="H8" i="21"/>
  <c r="H7" i="21"/>
  <c r="I8" i="24"/>
  <c r="J8" i="24" s="1"/>
  <c r="I7" i="24"/>
  <c r="J7" i="24" s="1"/>
  <c r="G9" i="24"/>
  <c r="H8" i="24"/>
  <c r="H7" i="24"/>
  <c r="I8" i="23"/>
  <c r="J8" i="23" s="1"/>
  <c r="I7" i="23"/>
  <c r="J7" i="23" s="1"/>
  <c r="G9" i="23"/>
  <c r="H8" i="23"/>
  <c r="H7" i="23"/>
  <c r="J8" i="22"/>
  <c r="J7" i="22"/>
  <c r="G9" i="22"/>
  <c r="H8" i="22"/>
  <c r="H7" i="22"/>
  <c r="H50" i="34"/>
  <c r="K11" i="25"/>
  <c r="L7" i="25"/>
  <c r="K10" i="14"/>
  <c r="L9" i="14"/>
  <c r="L8" i="14"/>
  <c r="L7" i="14"/>
  <c r="K12" i="13"/>
  <c r="L11" i="13"/>
  <c r="L10" i="13"/>
  <c r="L9" i="13"/>
  <c r="L8" i="13"/>
  <c r="L7" i="13"/>
  <c r="O48" i="38"/>
  <c r="O45" i="38"/>
  <c r="O49" i="38"/>
  <c r="O47" i="38"/>
  <c r="O46" i="38"/>
  <c r="O44" i="38"/>
  <c r="O52" i="38"/>
  <c r="O51" i="38"/>
  <c r="K15" i="12"/>
  <c r="L14" i="12"/>
  <c r="L13" i="12"/>
  <c r="L12" i="12"/>
  <c r="L11" i="12"/>
  <c r="L10" i="12"/>
  <c r="L9" i="12"/>
  <c r="L8" i="12"/>
  <c r="L7" i="12"/>
  <c r="K12" i="11"/>
  <c r="L11" i="11"/>
  <c r="L10" i="11"/>
  <c r="L9" i="11"/>
  <c r="L8" i="11"/>
  <c r="L7" i="11"/>
  <c r="K12" i="10"/>
  <c r="L11" i="10"/>
  <c r="L10" i="10"/>
  <c r="L9" i="10"/>
  <c r="L8" i="10"/>
  <c r="L7" i="10"/>
  <c r="K13" i="9"/>
  <c r="L12" i="9"/>
  <c r="L9" i="9"/>
  <c r="L8" i="9"/>
  <c r="L7" i="9"/>
  <c r="K12" i="8"/>
  <c r="L11" i="8"/>
  <c r="L10" i="8"/>
  <c r="L9" i="8"/>
  <c r="L8" i="8"/>
  <c r="L7" i="8"/>
  <c r="K15" i="7"/>
  <c r="L12" i="7"/>
  <c r="L11" i="7"/>
  <c r="L10" i="7"/>
  <c r="L9" i="7"/>
  <c r="L8" i="7"/>
  <c r="L7" i="7"/>
  <c r="K13" i="6"/>
  <c r="L12" i="6"/>
  <c r="L11" i="6"/>
  <c r="L10" i="6"/>
  <c r="L9" i="6"/>
  <c r="L8" i="6"/>
  <c r="L7" i="6"/>
  <c r="K11" i="5"/>
  <c r="L10" i="5"/>
  <c r="L9" i="5"/>
  <c r="L8" i="5"/>
  <c r="L7" i="5"/>
  <c r="L8" i="4"/>
  <c r="L7" i="4"/>
  <c r="K13" i="4"/>
  <c r="L12" i="4"/>
  <c r="L11" i="4"/>
  <c r="L10" i="4"/>
  <c r="L9" i="4"/>
  <c r="N16" i="3"/>
  <c r="N15" i="3"/>
  <c r="N14" i="3"/>
  <c r="N13" i="3"/>
  <c r="N12" i="3"/>
  <c r="N11" i="3"/>
  <c r="N10" i="3"/>
  <c r="N9" i="3"/>
  <c r="N8" i="3"/>
  <c r="N7" i="3"/>
  <c r="H26" i="34"/>
  <c r="K17" i="3"/>
  <c r="L16" i="3"/>
  <c r="L15" i="3"/>
  <c r="L14" i="3"/>
  <c r="L13" i="3"/>
  <c r="L12" i="3"/>
  <c r="L11" i="3"/>
  <c r="L10" i="3"/>
  <c r="L9" i="3"/>
  <c r="L8" i="3"/>
  <c r="L7" i="3"/>
  <c r="J65" i="38"/>
  <c r="K65" i="38" s="1"/>
  <c r="J63" i="38"/>
  <c r="K63" i="38" s="1"/>
  <c r="H7" i="2"/>
  <c r="J7" i="2"/>
  <c r="L7" i="2"/>
  <c r="H8" i="2"/>
  <c r="J8" i="2"/>
  <c r="L8" i="2"/>
  <c r="N8" i="2"/>
  <c r="H9" i="2"/>
  <c r="J9" i="2"/>
  <c r="L9" i="2"/>
  <c r="N9" i="2"/>
  <c r="H10" i="2"/>
  <c r="J10" i="2"/>
  <c r="L10" i="2"/>
  <c r="N10" i="2"/>
  <c r="H11" i="2"/>
  <c r="J11" i="2"/>
  <c r="L11" i="2"/>
  <c r="N11" i="2"/>
  <c r="H12" i="2"/>
  <c r="J12" i="2"/>
  <c r="L12" i="2"/>
  <c r="N12" i="2"/>
  <c r="H13" i="2"/>
  <c r="J13" i="2"/>
  <c r="L13" i="2"/>
  <c r="N13" i="2"/>
  <c r="H14" i="2"/>
  <c r="J14" i="2"/>
  <c r="L14" i="2"/>
  <c r="N14" i="2"/>
  <c r="H15" i="2"/>
  <c r="J15" i="2"/>
  <c r="L15" i="2"/>
  <c r="N15" i="2"/>
  <c r="B16" i="2"/>
  <c r="G16" i="2"/>
  <c r="I16" i="2"/>
  <c r="K16" i="2"/>
  <c r="M16" i="2"/>
  <c r="Z16" i="2" l="1"/>
  <c r="X16" i="2"/>
  <c r="V16" i="2"/>
  <c r="T16" i="2"/>
  <c r="F16" i="2"/>
  <c r="D16" i="2"/>
  <c r="L16" i="2"/>
  <c r="J12" i="38"/>
  <c r="K12" i="38" s="1"/>
  <c r="H16" i="2"/>
  <c r="J31" i="38"/>
  <c r="K31" i="38" s="1"/>
  <c r="J19" i="38"/>
  <c r="K19" i="38" s="1"/>
  <c r="J21" i="38"/>
  <c r="K21" i="38" s="1"/>
  <c r="J23" i="38"/>
  <c r="K23" i="38" s="1"/>
  <c r="J18" i="38"/>
  <c r="K18" i="38" s="1"/>
  <c r="J20" i="38"/>
  <c r="K20" i="38" s="1"/>
  <c r="J22" i="38"/>
  <c r="K22" i="38" s="1"/>
  <c r="J24" i="38"/>
  <c r="K24" i="38" s="1"/>
  <c r="J26" i="38"/>
  <c r="K26" i="38" s="1"/>
  <c r="J74" i="38"/>
  <c r="K74" i="38" s="1"/>
  <c r="J71" i="38"/>
  <c r="K71" i="38" s="1"/>
  <c r="J76" i="38"/>
  <c r="K76" i="38" s="1"/>
  <c r="J70" i="38"/>
  <c r="K70" i="38" s="1"/>
  <c r="J73" i="38"/>
  <c r="K73" i="38" s="1"/>
  <c r="J75" i="38"/>
  <c r="K75" i="38" s="1"/>
  <c r="J72" i="38"/>
  <c r="K72" i="38" s="1"/>
  <c r="J28" i="38"/>
  <c r="K28" i="38" s="1"/>
  <c r="J29" i="38"/>
  <c r="K29" i="38" s="1"/>
  <c r="J49" i="38"/>
  <c r="K49" i="38" s="1"/>
  <c r="J48" i="38"/>
  <c r="K48" i="38" s="1"/>
  <c r="J35" i="38"/>
  <c r="K35" i="38" s="1"/>
  <c r="J37" i="38"/>
  <c r="K37" i="38" s="1"/>
  <c r="J39" i="38"/>
  <c r="K39" i="38" s="1"/>
  <c r="J41" i="38"/>
  <c r="K41" i="38" s="1"/>
  <c r="J38" i="38"/>
  <c r="K38" i="38" s="1"/>
  <c r="J40" i="38"/>
  <c r="K40" i="38" s="1"/>
  <c r="J42" i="38"/>
  <c r="K42" i="38" s="1"/>
  <c r="P16" i="2"/>
  <c r="R16" i="2"/>
  <c r="J59" i="38"/>
  <c r="K59" i="38" s="1"/>
  <c r="J16" i="38"/>
  <c r="K16" i="38" s="1"/>
  <c r="J58" i="38"/>
  <c r="K58" i="38" s="1"/>
  <c r="J44" i="38"/>
  <c r="K44" i="38" s="1"/>
  <c r="J47" i="38"/>
  <c r="K47" i="38" s="1"/>
  <c r="H32" i="33"/>
  <c r="I32" i="33" s="1"/>
  <c r="H33" i="38"/>
  <c r="I33" i="38" s="1"/>
  <c r="O6" i="38"/>
  <c r="J51" i="38"/>
  <c r="K51" i="38" s="1"/>
  <c r="J50" i="38"/>
  <c r="K50" i="38" s="1"/>
  <c r="J52" i="38"/>
  <c r="K52" i="38" s="1"/>
  <c r="J46" i="38"/>
  <c r="K46" i="38" s="1"/>
  <c r="J45" i="38"/>
  <c r="K45" i="38" s="1"/>
  <c r="J60" i="38"/>
  <c r="K60" i="38" s="1"/>
  <c r="J64" i="38"/>
  <c r="K64" i="38" s="1"/>
  <c r="J55" i="38"/>
  <c r="K55" i="38" s="1"/>
  <c r="J57" i="38"/>
  <c r="K57" i="38" s="1"/>
  <c r="J61" i="38"/>
  <c r="K61" i="38" s="1"/>
  <c r="J62" i="38"/>
  <c r="K62" i="38" s="1"/>
  <c r="J56" i="38"/>
  <c r="K56" i="38" s="1"/>
  <c r="N16" i="2"/>
  <c r="J16" i="2"/>
  <c r="D19" i="34"/>
  <c r="F19" i="34"/>
  <c r="L19" i="34"/>
  <c r="D20" i="34"/>
  <c r="F20" i="34"/>
  <c r="L20" i="34"/>
  <c r="D21" i="34"/>
  <c r="F21" i="34"/>
  <c r="L21" i="34"/>
  <c r="D22" i="34"/>
  <c r="F22" i="34"/>
  <c r="L22" i="34"/>
  <c r="D23" i="34"/>
  <c r="F23" i="34"/>
  <c r="L23" i="34"/>
  <c r="D24" i="34"/>
  <c r="F24" i="34"/>
  <c r="L24" i="34"/>
  <c r="D25" i="34"/>
  <c r="F25" i="34"/>
  <c r="L25" i="34"/>
  <c r="R25" i="34" s="1"/>
  <c r="D27" i="34"/>
  <c r="F27" i="34"/>
  <c r="L27" i="34"/>
  <c r="R27" i="34" s="1"/>
  <c r="D28" i="34"/>
  <c r="F28" i="34"/>
  <c r="L28" i="34"/>
  <c r="R28" i="34" s="1"/>
  <c r="D29" i="34"/>
  <c r="F29" i="34"/>
  <c r="L29" i="34"/>
  <c r="R29" i="34" s="1"/>
  <c r="D30" i="34"/>
  <c r="F30" i="34"/>
  <c r="L30" i="34"/>
  <c r="R30" i="34" s="1"/>
  <c r="D31" i="34"/>
  <c r="F31" i="34"/>
  <c r="L31" i="34"/>
  <c r="R31" i="34" s="1"/>
  <c r="D32" i="34"/>
  <c r="F32" i="34"/>
  <c r="L32" i="34"/>
  <c r="R32" i="34" s="1"/>
  <c r="D33" i="34"/>
  <c r="F33" i="34"/>
  <c r="L33" i="34"/>
  <c r="R33" i="34" s="1"/>
  <c r="D34" i="34"/>
  <c r="F34" i="34"/>
  <c r="L34" i="34"/>
  <c r="R34" i="34" s="1"/>
  <c r="D35" i="34"/>
  <c r="F35" i="34"/>
  <c r="L35" i="34"/>
  <c r="R35" i="34" s="1"/>
  <c r="D36" i="34"/>
  <c r="F36" i="34"/>
  <c r="L36" i="34"/>
  <c r="K38" i="34"/>
  <c r="R38" i="34"/>
  <c r="D39" i="34"/>
  <c r="F39" i="34"/>
  <c r="L39" i="34"/>
  <c r="R39" i="34" s="1"/>
  <c r="D40" i="34"/>
  <c r="F40" i="34"/>
  <c r="L40" i="34"/>
  <c r="R40" i="34" s="1"/>
  <c r="D41" i="34"/>
  <c r="F41" i="34"/>
  <c r="L41" i="34"/>
  <c r="R41" i="34" s="1"/>
  <c r="D42" i="34"/>
  <c r="F42" i="34"/>
  <c r="L42" i="34"/>
  <c r="R42" i="34" s="1"/>
  <c r="D43" i="34"/>
  <c r="F43" i="34"/>
  <c r="L43" i="34"/>
  <c r="R43" i="34" s="1"/>
  <c r="D44" i="34"/>
  <c r="F44" i="34"/>
  <c r="L44" i="34"/>
  <c r="R44" i="34" s="1"/>
  <c r="D46" i="34"/>
  <c r="F46" i="34"/>
  <c r="L46" i="34"/>
  <c r="R46" i="34" s="1"/>
  <c r="D47" i="34"/>
  <c r="F47" i="34"/>
  <c r="L47" i="34"/>
  <c r="D48" i="34"/>
  <c r="F48" i="34"/>
  <c r="L48" i="34"/>
  <c r="R48" i="34" s="1"/>
  <c r="D49" i="34"/>
  <c r="F49" i="34"/>
  <c r="L49" i="34"/>
  <c r="R54" i="34"/>
  <c r="S54" i="34" s="1"/>
  <c r="R55" i="34"/>
  <c r="R56" i="34"/>
  <c r="R57" i="34"/>
  <c r="R58" i="34"/>
  <c r="D60" i="34"/>
  <c r="F60" i="34"/>
  <c r="L60" i="34"/>
  <c r="R60" i="34" s="1"/>
  <c r="D61" i="34"/>
  <c r="F61" i="34"/>
  <c r="L61" i="34"/>
  <c r="R61" i="34" s="1"/>
  <c r="D62" i="34"/>
  <c r="F62" i="34"/>
  <c r="L62" i="34"/>
  <c r="R62" i="34" s="1"/>
  <c r="D63" i="34"/>
  <c r="F63" i="34"/>
  <c r="L63" i="34"/>
  <c r="R63" i="34" s="1"/>
  <c r="D64" i="34"/>
  <c r="F64" i="34"/>
  <c r="L64" i="34"/>
  <c r="R64" i="34" s="1"/>
  <c r="D65" i="34"/>
  <c r="F65" i="34"/>
  <c r="L65" i="34"/>
  <c r="R65" i="34" s="1"/>
  <c r="D66" i="34"/>
  <c r="F66" i="34"/>
  <c r="L66" i="34"/>
  <c r="R66" i="34" s="1"/>
  <c r="D67" i="34"/>
  <c r="F67" i="34"/>
  <c r="L67" i="34"/>
  <c r="R67" i="34" s="1"/>
  <c r="D68" i="34"/>
  <c r="F68" i="34"/>
  <c r="L68" i="34"/>
  <c r="R68" i="34" s="1"/>
  <c r="D69" i="34"/>
  <c r="F69" i="34"/>
  <c r="L69" i="34"/>
  <c r="R69" i="34" s="1"/>
  <c r="D70" i="34"/>
  <c r="F70" i="34"/>
  <c r="L70" i="34"/>
  <c r="R70" i="34" s="1"/>
  <c r="D71" i="34"/>
  <c r="F71" i="34"/>
  <c r="L71" i="34"/>
  <c r="R71" i="34" s="1"/>
  <c r="D73" i="34"/>
  <c r="F73" i="34"/>
  <c r="L73" i="34"/>
  <c r="R73" i="34" s="1"/>
  <c r="D74" i="34"/>
  <c r="F74" i="34"/>
  <c r="L74" i="34"/>
  <c r="R74" i="34" s="1"/>
  <c r="D75" i="34"/>
  <c r="F75" i="34"/>
  <c r="L75" i="34"/>
  <c r="R75" i="34" s="1"/>
  <c r="D76" i="34"/>
  <c r="F76" i="34"/>
  <c r="L76" i="34"/>
  <c r="R76" i="34" s="1"/>
  <c r="D77" i="34"/>
  <c r="F77" i="34"/>
  <c r="L77" i="34"/>
  <c r="R77" i="34" s="1"/>
  <c r="D78" i="34"/>
  <c r="F78" i="34"/>
  <c r="L78" i="34"/>
  <c r="R78" i="34" s="1"/>
  <c r="D79" i="34"/>
  <c r="F79" i="34"/>
  <c r="L79" i="34"/>
  <c r="R79" i="34" s="1"/>
  <c r="D81" i="34"/>
  <c r="F81" i="34"/>
  <c r="L81" i="34"/>
  <c r="R81" i="34" s="1"/>
  <c r="D82" i="34"/>
  <c r="F82" i="34"/>
  <c r="L82" i="34"/>
  <c r="R82" i="34" s="1"/>
  <c r="D83" i="34"/>
  <c r="F83" i="34"/>
  <c r="L83" i="34"/>
  <c r="R83" i="34" s="1"/>
  <c r="D84" i="34"/>
  <c r="F84" i="34"/>
  <c r="L84" i="34"/>
  <c r="R84" i="34" s="1"/>
  <c r="D85" i="34"/>
  <c r="F85" i="34"/>
  <c r="L85" i="34"/>
  <c r="R85" i="34" s="1"/>
  <c r="D86" i="34"/>
  <c r="F86" i="34"/>
  <c r="L86" i="34"/>
  <c r="R86" i="34" s="1"/>
  <c r="D87" i="34"/>
  <c r="F87" i="34"/>
  <c r="L87" i="34"/>
  <c r="R87" i="34" s="1"/>
  <c r="D88" i="34"/>
  <c r="F88" i="34"/>
  <c r="L88" i="34"/>
  <c r="R88" i="34" s="1"/>
  <c r="D90" i="34"/>
  <c r="F90" i="34"/>
  <c r="L90" i="34"/>
  <c r="R90" i="34" s="1"/>
  <c r="D91" i="34"/>
  <c r="F91" i="34"/>
  <c r="L91" i="34"/>
  <c r="R91" i="34" s="1"/>
  <c r="D92" i="34"/>
  <c r="F92" i="34"/>
  <c r="L92" i="34"/>
  <c r="R92" i="34" s="1"/>
  <c r="D93" i="34"/>
  <c r="F93" i="34"/>
  <c r="L93" i="34"/>
  <c r="R93" i="34" s="1"/>
  <c r="D94" i="34"/>
  <c r="F94" i="34"/>
  <c r="L94" i="34"/>
  <c r="R94" i="34" s="1"/>
  <c r="D95" i="34"/>
  <c r="F95" i="34"/>
  <c r="L95" i="34"/>
  <c r="R95" i="34" s="1"/>
  <c r="D96" i="34"/>
  <c r="F96" i="34"/>
  <c r="L96" i="34"/>
  <c r="R96" i="34" s="1"/>
  <c r="D97" i="34"/>
  <c r="F97" i="34"/>
  <c r="L97" i="34"/>
  <c r="R97" i="34" s="1"/>
  <c r="D98" i="34"/>
  <c r="F98" i="34"/>
  <c r="L98" i="34"/>
  <c r="R98" i="34" s="1"/>
  <c r="D99" i="34"/>
  <c r="F99" i="34"/>
  <c r="L99" i="34"/>
  <c r="R99" i="34" s="1"/>
  <c r="D101" i="34"/>
  <c r="F101" i="34"/>
  <c r="L101" i="34"/>
  <c r="R101" i="34" s="1"/>
  <c r="D102" i="34"/>
  <c r="F102" i="34"/>
  <c r="L102" i="34"/>
  <c r="R102" i="34" s="1"/>
  <c r="D103" i="34"/>
  <c r="F103" i="34"/>
  <c r="L103" i="34"/>
  <c r="R103" i="34" s="1"/>
  <c r="D104" i="34"/>
  <c r="F104" i="34"/>
  <c r="L104" i="34"/>
  <c r="R104" i="34" s="1"/>
  <c r="D105" i="34"/>
  <c r="F105" i="34"/>
  <c r="L105" i="34"/>
  <c r="R105" i="34" s="1"/>
  <c r="D107" i="34"/>
  <c r="F107" i="34"/>
  <c r="L107" i="34"/>
  <c r="R107" i="34" s="1"/>
  <c r="D108" i="34"/>
  <c r="F108" i="34"/>
  <c r="L108" i="34"/>
  <c r="R108" i="34" s="1"/>
  <c r="D109" i="34"/>
  <c r="F109" i="34"/>
  <c r="L109" i="34"/>
  <c r="R109" i="34" s="1"/>
  <c r="D110" i="34"/>
  <c r="F110" i="34"/>
  <c r="L110" i="34"/>
  <c r="R110" i="34" s="1"/>
  <c r="D111" i="34"/>
  <c r="F111" i="34"/>
  <c r="L111" i="34"/>
  <c r="R111" i="34" s="1"/>
  <c r="D112" i="34"/>
  <c r="F112" i="34"/>
  <c r="L112" i="34"/>
  <c r="R112" i="34" s="1"/>
  <c r="D113" i="34"/>
  <c r="F113" i="34"/>
  <c r="L113" i="34"/>
  <c r="R113" i="34" s="1"/>
  <c r="D114" i="34"/>
  <c r="F114" i="34"/>
  <c r="L114" i="34"/>
  <c r="R114" i="34" s="1"/>
  <c r="D115" i="34"/>
  <c r="F115" i="34"/>
  <c r="L115" i="34"/>
  <c r="R115" i="34" s="1"/>
  <c r="D116" i="34"/>
  <c r="F116" i="34"/>
  <c r="L116" i="34"/>
  <c r="R116" i="34" s="1"/>
  <c r="D6" i="34"/>
  <c r="F6" i="34"/>
  <c r="R6" i="34"/>
  <c r="D7" i="34"/>
  <c r="F7" i="34"/>
  <c r="R7" i="34"/>
  <c r="D8" i="34"/>
  <c r="F8" i="34"/>
  <c r="L8" i="34"/>
  <c r="D9" i="34"/>
  <c r="F9" i="34"/>
  <c r="L9" i="34"/>
  <c r="D10" i="34"/>
  <c r="F10" i="34"/>
  <c r="L10" i="34"/>
  <c r="D11" i="34"/>
  <c r="F11" i="34"/>
  <c r="L11" i="34"/>
  <c r="D12" i="34"/>
  <c r="F12" i="34"/>
  <c r="L12" i="34"/>
  <c r="D13" i="34"/>
  <c r="F13" i="34"/>
  <c r="L13" i="34"/>
  <c r="D14" i="34"/>
  <c r="F14" i="34"/>
  <c r="L14" i="34"/>
  <c r="D15" i="34"/>
  <c r="F15" i="34"/>
  <c r="L15" i="34"/>
  <c r="D16" i="34"/>
  <c r="F16" i="34"/>
  <c r="L16" i="34"/>
  <c r="D17" i="34"/>
  <c r="F17" i="34"/>
  <c r="L17" i="34"/>
  <c r="D5" i="34"/>
  <c r="F5" i="34"/>
  <c r="R5" i="34"/>
  <c r="D4" i="34"/>
  <c r="J4" i="34" s="1"/>
  <c r="R4" i="34"/>
  <c r="C17" i="34"/>
  <c r="C16" i="34"/>
  <c r="C15" i="34"/>
  <c r="C14" i="34"/>
  <c r="C13" i="34"/>
  <c r="C12" i="34"/>
  <c r="C11" i="34"/>
  <c r="C10" i="34"/>
  <c r="C9" i="34"/>
  <c r="C8" i="34"/>
  <c r="C7" i="34"/>
  <c r="M7" i="34" s="1"/>
  <c r="C6" i="34"/>
  <c r="M6" i="34" s="1"/>
  <c r="C5" i="34"/>
  <c r="C4" i="34"/>
  <c r="C20" i="34"/>
  <c r="C21" i="34"/>
  <c r="C22" i="34"/>
  <c r="C23" i="34"/>
  <c r="C24" i="34"/>
  <c r="C25" i="34"/>
  <c r="C19" i="34"/>
  <c r="C35" i="34"/>
  <c r="C27" i="34"/>
  <c r="C44" i="34"/>
  <c r="C43" i="34"/>
  <c r="C42" i="34"/>
  <c r="C41" i="34"/>
  <c r="C40" i="34"/>
  <c r="C39" i="34"/>
  <c r="I38" i="34"/>
  <c r="C36" i="34"/>
  <c r="C34" i="34"/>
  <c r="C33" i="34"/>
  <c r="C32" i="34"/>
  <c r="C31" i="34"/>
  <c r="C30" i="34"/>
  <c r="C29" i="34"/>
  <c r="C28" i="34"/>
  <c r="C47" i="34"/>
  <c r="C48" i="34"/>
  <c r="I48" i="34" s="1"/>
  <c r="C49" i="34"/>
  <c r="I49" i="34" s="1"/>
  <c r="C46" i="34"/>
  <c r="C61" i="34"/>
  <c r="C62" i="34"/>
  <c r="C63" i="34"/>
  <c r="C64" i="34"/>
  <c r="C65" i="34"/>
  <c r="C66" i="34"/>
  <c r="C67" i="34"/>
  <c r="C68" i="34"/>
  <c r="C69" i="34"/>
  <c r="C70" i="34"/>
  <c r="C71" i="34"/>
  <c r="C60" i="34"/>
  <c r="C74" i="34"/>
  <c r="C75" i="34"/>
  <c r="C76" i="34"/>
  <c r="C77" i="34"/>
  <c r="C78" i="34"/>
  <c r="C79" i="34"/>
  <c r="C73" i="34"/>
  <c r="C88" i="34"/>
  <c r="C82" i="34"/>
  <c r="C83" i="34"/>
  <c r="C84" i="34"/>
  <c r="C85" i="34"/>
  <c r="C86" i="34"/>
  <c r="C87" i="34"/>
  <c r="C81" i="34"/>
  <c r="J48" i="34" l="1"/>
  <c r="J69" i="34"/>
  <c r="J65" i="34"/>
  <c r="J63" i="34"/>
  <c r="J24" i="34"/>
  <c r="J22" i="34"/>
  <c r="J20" i="34"/>
  <c r="J71" i="34"/>
  <c r="J116" i="34"/>
  <c r="J110" i="34"/>
  <c r="J78" i="34"/>
  <c r="J76" i="34"/>
  <c r="J39" i="34"/>
  <c r="J33" i="34"/>
  <c r="J31" i="34"/>
  <c r="J29" i="34"/>
  <c r="J17" i="34"/>
  <c r="J13" i="34"/>
  <c r="K4" i="34"/>
  <c r="J7" i="34"/>
  <c r="G49" i="34"/>
  <c r="J99" i="34"/>
  <c r="J97" i="34"/>
  <c r="J95" i="34"/>
  <c r="J93" i="34"/>
  <c r="J91" i="34"/>
  <c r="J88" i="34"/>
  <c r="J86" i="34"/>
  <c r="J84" i="34"/>
  <c r="R24" i="34"/>
  <c r="M24" i="34"/>
  <c r="R22" i="34"/>
  <c r="M22" i="34"/>
  <c r="R20" i="34"/>
  <c r="M20" i="34"/>
  <c r="R23" i="34"/>
  <c r="M23" i="34"/>
  <c r="R21" i="34"/>
  <c r="M21" i="34"/>
  <c r="R19" i="34"/>
  <c r="M19" i="34"/>
  <c r="R49" i="34"/>
  <c r="M49" i="34"/>
  <c r="R47" i="34"/>
  <c r="M47" i="34"/>
  <c r="J15" i="34"/>
  <c r="J11" i="34"/>
  <c r="R17" i="34"/>
  <c r="M17" i="34"/>
  <c r="R15" i="34"/>
  <c r="M15" i="34"/>
  <c r="R13" i="34"/>
  <c r="M13" i="34"/>
  <c r="R11" i="34"/>
  <c r="M11" i="34"/>
  <c r="R9" i="34"/>
  <c r="M9" i="34"/>
  <c r="R16" i="34"/>
  <c r="M16" i="34"/>
  <c r="R14" i="34"/>
  <c r="M14" i="34"/>
  <c r="R12" i="34"/>
  <c r="M12" i="34"/>
  <c r="R10" i="34"/>
  <c r="M10" i="34"/>
  <c r="R8" i="34"/>
  <c r="M8" i="34"/>
  <c r="J67" i="34"/>
  <c r="J61" i="34"/>
  <c r="J70" i="34"/>
  <c r="J68" i="34"/>
  <c r="J66" i="34"/>
  <c r="J64" i="34"/>
  <c r="J62" i="34"/>
  <c r="J60" i="34"/>
  <c r="J98" i="34"/>
  <c r="J96" i="34"/>
  <c r="J94" i="34"/>
  <c r="J92" i="34"/>
  <c r="J90" i="34"/>
  <c r="J105" i="34"/>
  <c r="J103" i="34"/>
  <c r="J101" i="34"/>
  <c r="J104" i="34"/>
  <c r="J102" i="34"/>
  <c r="J114" i="34"/>
  <c r="J112" i="34"/>
  <c r="J108" i="34"/>
  <c r="J115" i="34"/>
  <c r="J113" i="34"/>
  <c r="J111" i="34"/>
  <c r="J109" i="34"/>
  <c r="J107" i="34"/>
  <c r="J74" i="34"/>
  <c r="J79" i="34"/>
  <c r="J77" i="34"/>
  <c r="J75" i="34"/>
  <c r="J73" i="34"/>
  <c r="J44" i="34"/>
  <c r="J42" i="34"/>
  <c r="J46" i="34"/>
  <c r="J49" i="34"/>
  <c r="J47" i="34"/>
  <c r="J43" i="34"/>
  <c r="J40" i="34"/>
  <c r="J87" i="34"/>
  <c r="J85" i="34"/>
  <c r="J83" i="34"/>
  <c r="J81" i="34"/>
  <c r="J82" i="34"/>
  <c r="J35" i="34"/>
  <c r="J41" i="34"/>
  <c r="J36" i="34"/>
  <c r="J34" i="34"/>
  <c r="J32" i="34"/>
  <c r="J30" i="34"/>
  <c r="J28" i="34"/>
  <c r="J27" i="34"/>
  <c r="J25" i="34"/>
  <c r="J23" i="34"/>
  <c r="J21" i="34"/>
  <c r="J19" i="34"/>
  <c r="J9" i="34"/>
  <c r="J5" i="34"/>
  <c r="J16" i="34"/>
  <c r="J14" i="34"/>
  <c r="J12" i="34"/>
  <c r="J10" i="34"/>
  <c r="J8" i="34"/>
  <c r="J6" i="34"/>
  <c r="I69" i="34"/>
  <c r="O69" i="34"/>
  <c r="Q69" i="34"/>
  <c r="I65" i="34"/>
  <c r="O65" i="34"/>
  <c r="Q65" i="34"/>
  <c r="I61" i="34"/>
  <c r="O61" i="34"/>
  <c r="Q61" i="34"/>
  <c r="I60" i="34"/>
  <c r="Q60" i="34"/>
  <c r="O60" i="34"/>
  <c r="I70" i="34"/>
  <c r="Q70" i="34"/>
  <c r="O70" i="34"/>
  <c r="I68" i="34"/>
  <c r="Q68" i="34"/>
  <c r="O68" i="34"/>
  <c r="I66" i="34"/>
  <c r="Q66" i="34"/>
  <c r="O66" i="34"/>
  <c r="I64" i="34"/>
  <c r="Q64" i="34"/>
  <c r="O64" i="34"/>
  <c r="I62" i="34"/>
  <c r="Q62" i="34"/>
  <c r="O62" i="34"/>
  <c r="I71" i="34"/>
  <c r="O71" i="34"/>
  <c r="Q71" i="34"/>
  <c r="I67" i="34"/>
  <c r="O67" i="34"/>
  <c r="Q67" i="34"/>
  <c r="I63" i="34"/>
  <c r="O63" i="34"/>
  <c r="Q63" i="34"/>
  <c r="Q76" i="34"/>
  <c r="O76" i="34"/>
  <c r="O73" i="34"/>
  <c r="Q73" i="34"/>
  <c r="I78" i="34"/>
  <c r="Q78" i="34"/>
  <c r="O78" i="34"/>
  <c r="Q74" i="34"/>
  <c r="O74" i="34"/>
  <c r="I79" i="34"/>
  <c r="O79" i="34"/>
  <c r="Q79" i="34"/>
  <c r="I77" i="34"/>
  <c r="O77" i="34"/>
  <c r="Q77" i="34"/>
  <c r="I75" i="34"/>
  <c r="O75" i="34"/>
  <c r="Q75" i="34"/>
  <c r="I44" i="34"/>
  <c r="O44" i="34"/>
  <c r="Q44" i="34"/>
  <c r="Q46" i="34"/>
  <c r="O46" i="34"/>
  <c r="Q48" i="34"/>
  <c r="O48" i="34"/>
  <c r="O49" i="34"/>
  <c r="Q49" i="34"/>
  <c r="O47" i="34"/>
  <c r="Q47" i="34"/>
  <c r="I42" i="34"/>
  <c r="Q42" i="34"/>
  <c r="O42" i="34"/>
  <c r="I43" i="34"/>
  <c r="Q43" i="34"/>
  <c r="O43" i="34"/>
  <c r="I84" i="34"/>
  <c r="O84" i="34"/>
  <c r="Q84" i="34"/>
  <c r="Q81" i="34"/>
  <c r="O81" i="34"/>
  <c r="I86" i="34"/>
  <c r="O86" i="34"/>
  <c r="Q86" i="34"/>
  <c r="I82" i="34"/>
  <c r="O82" i="34"/>
  <c r="Q82" i="34"/>
  <c r="I87" i="34"/>
  <c r="Q87" i="34"/>
  <c r="O87" i="34"/>
  <c r="I85" i="34"/>
  <c r="Q85" i="34"/>
  <c r="O85" i="34"/>
  <c r="Q83" i="34"/>
  <c r="O83" i="34"/>
  <c r="I88" i="34"/>
  <c r="O88" i="34"/>
  <c r="Q88" i="34"/>
  <c r="I40" i="34"/>
  <c r="Q40" i="34"/>
  <c r="O40" i="34"/>
  <c r="I39" i="34"/>
  <c r="Q39" i="34"/>
  <c r="O39" i="34"/>
  <c r="I28" i="34"/>
  <c r="Q28" i="34"/>
  <c r="O28" i="34"/>
  <c r="I34" i="34"/>
  <c r="Q34" i="34"/>
  <c r="O34" i="34"/>
  <c r="I35" i="34"/>
  <c r="O35" i="34"/>
  <c r="Q35" i="34"/>
  <c r="I30" i="34"/>
  <c r="Q30" i="34"/>
  <c r="O30" i="34"/>
  <c r="I32" i="34"/>
  <c r="Q32" i="34"/>
  <c r="O32" i="34"/>
  <c r="I29" i="34"/>
  <c r="O29" i="34"/>
  <c r="Q29" i="34"/>
  <c r="I31" i="34"/>
  <c r="O31" i="34"/>
  <c r="Q31" i="34"/>
  <c r="I33" i="34"/>
  <c r="O33" i="34"/>
  <c r="Q33" i="34"/>
  <c r="Q36" i="34"/>
  <c r="O36" i="34"/>
  <c r="I36" i="34"/>
  <c r="I41" i="34"/>
  <c r="O41" i="34"/>
  <c r="Q41" i="34"/>
  <c r="I27" i="34"/>
  <c r="O27" i="34"/>
  <c r="Q27" i="34"/>
  <c r="G36" i="34"/>
  <c r="R36" i="34"/>
  <c r="M36" i="34"/>
  <c r="E36" i="34"/>
  <c r="I21" i="34"/>
  <c r="O21" i="34"/>
  <c r="Q21" i="34"/>
  <c r="I25" i="34"/>
  <c r="O25" i="34"/>
  <c r="Q25" i="34"/>
  <c r="I23" i="34"/>
  <c r="O23" i="34"/>
  <c r="Q23" i="34"/>
  <c r="I19" i="34"/>
  <c r="O19" i="34"/>
  <c r="Q19" i="34"/>
  <c r="I24" i="34"/>
  <c r="Q24" i="34"/>
  <c r="O24" i="34"/>
  <c r="I22" i="34"/>
  <c r="Q22" i="34"/>
  <c r="O22" i="34"/>
  <c r="I20" i="34"/>
  <c r="Q20" i="34"/>
  <c r="O20" i="34"/>
  <c r="I6" i="34"/>
  <c r="Q6" i="34"/>
  <c r="O6" i="34"/>
  <c r="I10" i="34"/>
  <c r="Q10" i="34"/>
  <c r="O10" i="34"/>
  <c r="I14" i="34"/>
  <c r="Q14" i="34"/>
  <c r="O14" i="34"/>
  <c r="I16" i="34"/>
  <c r="Q16" i="34"/>
  <c r="O16" i="34"/>
  <c r="Q4" i="34"/>
  <c r="O4" i="34"/>
  <c r="I8" i="34"/>
  <c r="Q8" i="34"/>
  <c r="O8" i="34"/>
  <c r="I12" i="34"/>
  <c r="Q12" i="34"/>
  <c r="O12" i="34"/>
  <c r="I5" i="34"/>
  <c r="Q5" i="34"/>
  <c r="O5" i="34"/>
  <c r="I7" i="34"/>
  <c r="Q7" i="34"/>
  <c r="O7" i="34"/>
  <c r="I9" i="34"/>
  <c r="Q9" i="34"/>
  <c r="O9" i="34"/>
  <c r="I11" i="34"/>
  <c r="Q11" i="34"/>
  <c r="O11" i="34"/>
  <c r="I13" i="34"/>
  <c r="Q13" i="34"/>
  <c r="O13" i="34"/>
  <c r="I15" i="34"/>
  <c r="Q15" i="34"/>
  <c r="O15" i="34"/>
  <c r="I17" i="34"/>
  <c r="Q17" i="34"/>
  <c r="O17" i="34"/>
  <c r="I59" i="34"/>
  <c r="F59" i="34"/>
  <c r="D59" i="34"/>
  <c r="S4" i="34"/>
  <c r="I83" i="34"/>
  <c r="I81" i="34"/>
  <c r="E73" i="34"/>
  <c r="I73" i="34"/>
  <c r="I76" i="34"/>
  <c r="I74" i="34"/>
  <c r="I47" i="34"/>
  <c r="E46" i="34"/>
  <c r="I46" i="34"/>
  <c r="C18" i="34"/>
  <c r="I4" i="34"/>
  <c r="F18" i="34"/>
  <c r="L53" i="34"/>
  <c r="R53" i="34" s="1"/>
  <c r="M48" i="34"/>
  <c r="G48" i="34"/>
  <c r="E44" i="34"/>
  <c r="E25" i="34"/>
  <c r="E23" i="34"/>
  <c r="E21" i="34"/>
  <c r="M88" i="34"/>
  <c r="G88" i="34"/>
  <c r="E87" i="34"/>
  <c r="M86" i="34"/>
  <c r="G86" i="34"/>
  <c r="E85" i="34"/>
  <c r="M84" i="34"/>
  <c r="G84" i="34"/>
  <c r="E83" i="34"/>
  <c r="M82" i="34"/>
  <c r="G82" i="34"/>
  <c r="E81" i="34"/>
  <c r="E88" i="34"/>
  <c r="M87" i="34"/>
  <c r="G87" i="34"/>
  <c r="E86" i="34"/>
  <c r="M85" i="34"/>
  <c r="G85" i="34"/>
  <c r="E84" i="34"/>
  <c r="M83" i="34"/>
  <c r="G83" i="34"/>
  <c r="E82" i="34"/>
  <c r="M81" i="34"/>
  <c r="G81" i="34"/>
  <c r="M79" i="34"/>
  <c r="G79" i="34"/>
  <c r="E78" i="34"/>
  <c r="M77" i="34"/>
  <c r="G77" i="34"/>
  <c r="E76" i="34"/>
  <c r="M75" i="34"/>
  <c r="G75" i="34"/>
  <c r="E74" i="34"/>
  <c r="M73" i="34"/>
  <c r="G73" i="34"/>
  <c r="E79" i="34"/>
  <c r="M78" i="34"/>
  <c r="G78" i="34"/>
  <c r="E77" i="34"/>
  <c r="M76" i="34"/>
  <c r="G76" i="34"/>
  <c r="E75" i="34"/>
  <c r="M74" i="34"/>
  <c r="G74" i="34"/>
  <c r="E71" i="34"/>
  <c r="M70" i="34"/>
  <c r="G70" i="34"/>
  <c r="E69" i="34"/>
  <c r="M68" i="34"/>
  <c r="G68" i="34"/>
  <c r="E67" i="34"/>
  <c r="M66" i="34"/>
  <c r="G66" i="34"/>
  <c r="E65" i="34"/>
  <c r="M64" i="34"/>
  <c r="G64" i="34"/>
  <c r="E63" i="34"/>
  <c r="M62" i="34"/>
  <c r="G62" i="34"/>
  <c r="E61" i="34"/>
  <c r="M60" i="34"/>
  <c r="G60" i="34"/>
  <c r="M71" i="34"/>
  <c r="G71" i="34"/>
  <c r="E70" i="34"/>
  <c r="M69" i="34"/>
  <c r="G69" i="34"/>
  <c r="E68" i="34"/>
  <c r="M67" i="34"/>
  <c r="G67" i="34"/>
  <c r="E66" i="34"/>
  <c r="M65" i="34"/>
  <c r="G65" i="34"/>
  <c r="E64" i="34"/>
  <c r="M63" i="34"/>
  <c r="G63" i="34"/>
  <c r="E62" i="34"/>
  <c r="M61" i="34"/>
  <c r="G61" i="34"/>
  <c r="E60" i="34"/>
  <c r="E58" i="34"/>
  <c r="M57" i="34"/>
  <c r="G57" i="34"/>
  <c r="E56" i="34"/>
  <c r="M55" i="34"/>
  <c r="E54" i="34"/>
  <c r="M58" i="34"/>
  <c r="G58" i="34"/>
  <c r="E57" i="34"/>
  <c r="M56" i="34"/>
  <c r="G56" i="34"/>
  <c r="E55" i="34"/>
  <c r="M54" i="34"/>
  <c r="F53" i="34"/>
  <c r="D53" i="34"/>
  <c r="E49" i="34"/>
  <c r="M46" i="34"/>
  <c r="G46" i="34"/>
  <c r="E47" i="34"/>
  <c r="E48" i="34"/>
  <c r="G47" i="34"/>
  <c r="L45" i="34"/>
  <c r="R45" i="34" s="1"/>
  <c r="F45" i="34"/>
  <c r="D45" i="34"/>
  <c r="M44" i="34"/>
  <c r="G44" i="34"/>
  <c r="E43" i="34"/>
  <c r="M42" i="34"/>
  <c r="G42" i="34"/>
  <c r="M43" i="34"/>
  <c r="G43" i="34"/>
  <c r="E42" i="34"/>
  <c r="M40" i="34"/>
  <c r="G40" i="34"/>
  <c r="E39" i="34"/>
  <c r="M38" i="34"/>
  <c r="G38" i="34"/>
  <c r="E40" i="34"/>
  <c r="M39" i="34"/>
  <c r="G39" i="34"/>
  <c r="E38" i="34"/>
  <c r="M41" i="34"/>
  <c r="G41" i="34"/>
  <c r="E35" i="34"/>
  <c r="M34" i="34"/>
  <c r="G34" i="34"/>
  <c r="E33" i="34"/>
  <c r="M32" i="34"/>
  <c r="G32" i="34"/>
  <c r="E31" i="34"/>
  <c r="M30" i="34"/>
  <c r="G30" i="34"/>
  <c r="E29" i="34"/>
  <c r="M28" i="34"/>
  <c r="G28" i="34"/>
  <c r="E27" i="34"/>
  <c r="E41" i="34"/>
  <c r="M35" i="34"/>
  <c r="G35" i="34"/>
  <c r="E34" i="34"/>
  <c r="M33" i="34"/>
  <c r="G33" i="34"/>
  <c r="E32" i="34"/>
  <c r="M31" i="34"/>
  <c r="G31" i="34"/>
  <c r="E30" i="34"/>
  <c r="M29" i="34"/>
  <c r="G29" i="34"/>
  <c r="E28" i="34"/>
  <c r="M27" i="34"/>
  <c r="G27" i="34"/>
  <c r="G22" i="34"/>
  <c r="E19" i="34"/>
  <c r="G24" i="34"/>
  <c r="G20" i="34"/>
  <c r="M25" i="34"/>
  <c r="G25" i="34"/>
  <c r="E24" i="34"/>
  <c r="G23" i="34"/>
  <c r="E22" i="34"/>
  <c r="G21" i="34"/>
  <c r="E20" i="34"/>
  <c r="G19" i="34"/>
  <c r="M4" i="34"/>
  <c r="E17" i="34"/>
  <c r="G16" i="34"/>
  <c r="E15" i="34"/>
  <c r="G14" i="34"/>
  <c r="E13" i="34"/>
  <c r="G12" i="34"/>
  <c r="E11" i="34"/>
  <c r="G10" i="34"/>
  <c r="E9" i="34"/>
  <c r="G8" i="34"/>
  <c r="E7" i="34"/>
  <c r="G6" i="34"/>
  <c r="G4" i="34"/>
  <c r="E5" i="34"/>
  <c r="G17" i="34"/>
  <c r="E16" i="34"/>
  <c r="G15" i="34"/>
  <c r="E14" i="34"/>
  <c r="G13" i="34"/>
  <c r="E12" i="34"/>
  <c r="G11" i="34"/>
  <c r="E10" i="34"/>
  <c r="G9" i="34"/>
  <c r="E8" i="34"/>
  <c r="G7" i="34"/>
  <c r="E6" i="34"/>
  <c r="L18" i="34"/>
  <c r="M18" i="34" s="1"/>
  <c r="E4" i="34"/>
  <c r="G5" i="34"/>
  <c r="M5" i="34"/>
  <c r="D18" i="34"/>
  <c r="C53" i="34"/>
  <c r="I53" i="34" s="1"/>
  <c r="C45" i="34"/>
  <c r="C91" i="34"/>
  <c r="C92" i="34"/>
  <c r="C93" i="34"/>
  <c r="C94" i="34"/>
  <c r="C95" i="34"/>
  <c r="C96" i="34"/>
  <c r="C97" i="34"/>
  <c r="C98" i="34"/>
  <c r="C99" i="34"/>
  <c r="C90" i="34"/>
  <c r="C102" i="34"/>
  <c r="C103" i="34"/>
  <c r="C104" i="34"/>
  <c r="C105" i="34"/>
  <c r="C101" i="34"/>
  <c r="C108" i="34"/>
  <c r="C109" i="34"/>
  <c r="C110" i="34"/>
  <c r="C111" i="34"/>
  <c r="C112" i="34"/>
  <c r="C113" i="34"/>
  <c r="C114" i="34"/>
  <c r="C115" i="34"/>
  <c r="C116" i="34"/>
  <c r="C107" i="34"/>
  <c r="G53" i="34" l="1"/>
  <c r="J53" i="34"/>
  <c r="K53" i="34" s="1"/>
  <c r="J59" i="34"/>
  <c r="K59" i="34" s="1"/>
  <c r="J45" i="34"/>
  <c r="G18" i="34"/>
  <c r="J18" i="34"/>
  <c r="G59" i="34"/>
  <c r="Q99" i="34"/>
  <c r="O99" i="34"/>
  <c r="Q97" i="34"/>
  <c r="O97" i="34"/>
  <c r="Q95" i="34"/>
  <c r="O95" i="34"/>
  <c r="Q93" i="34"/>
  <c r="O93" i="34"/>
  <c r="Q91" i="34"/>
  <c r="O91" i="34"/>
  <c r="Q90" i="34"/>
  <c r="O90" i="34"/>
  <c r="Q98" i="34"/>
  <c r="O98" i="34"/>
  <c r="I96" i="34"/>
  <c r="Q96" i="34"/>
  <c r="O96" i="34"/>
  <c r="Q94" i="34"/>
  <c r="O94" i="34"/>
  <c r="I92" i="34"/>
  <c r="Q92" i="34"/>
  <c r="O92" i="34"/>
  <c r="O101" i="34"/>
  <c r="Q101" i="34"/>
  <c r="Q104" i="34"/>
  <c r="O104" i="34"/>
  <c r="Q102" i="34"/>
  <c r="O102" i="34"/>
  <c r="O105" i="34"/>
  <c r="Q105" i="34"/>
  <c r="I103" i="34"/>
  <c r="O103" i="34"/>
  <c r="Q103" i="34"/>
  <c r="Q107" i="34"/>
  <c r="O107" i="34"/>
  <c r="Q115" i="34"/>
  <c r="O115" i="34"/>
  <c r="Q113" i="34"/>
  <c r="O113" i="34"/>
  <c r="Q111" i="34"/>
  <c r="O111" i="34"/>
  <c r="Q109" i="34"/>
  <c r="O109" i="34"/>
  <c r="Q116" i="34"/>
  <c r="O116" i="34"/>
  <c r="I114" i="34"/>
  <c r="Q114" i="34"/>
  <c r="O114" i="34"/>
  <c r="Q112" i="34"/>
  <c r="O112" i="34"/>
  <c r="Q110" i="34"/>
  <c r="O110" i="34"/>
  <c r="Q108" i="34"/>
  <c r="O108" i="34"/>
  <c r="I18" i="34"/>
  <c r="Q18" i="34"/>
  <c r="O18" i="34"/>
  <c r="Q53" i="34"/>
  <c r="O53" i="34"/>
  <c r="Q45" i="34"/>
  <c r="O45" i="34"/>
  <c r="M59" i="34"/>
  <c r="E59" i="34"/>
  <c r="R18" i="34"/>
  <c r="K5" i="34"/>
  <c r="S5" i="34"/>
  <c r="K8" i="34"/>
  <c r="S8" i="34"/>
  <c r="K12" i="34"/>
  <c r="S12" i="34"/>
  <c r="K16" i="34"/>
  <c r="S16" i="34"/>
  <c r="K21" i="34"/>
  <c r="S21" i="34"/>
  <c r="K25" i="34"/>
  <c r="S25" i="34"/>
  <c r="K20" i="34"/>
  <c r="S20" i="34"/>
  <c r="K22" i="34"/>
  <c r="S22" i="34"/>
  <c r="K30" i="34"/>
  <c r="S30" i="34"/>
  <c r="K34" i="34"/>
  <c r="S34" i="34"/>
  <c r="K41" i="34"/>
  <c r="S41" i="34"/>
  <c r="K27" i="34"/>
  <c r="S27" i="34"/>
  <c r="K29" i="34"/>
  <c r="S29" i="34"/>
  <c r="K31" i="34"/>
  <c r="S31" i="34"/>
  <c r="K33" i="34"/>
  <c r="S33" i="34"/>
  <c r="K35" i="34"/>
  <c r="S35" i="34"/>
  <c r="S38" i="34"/>
  <c r="K39" i="34"/>
  <c r="S39" i="34"/>
  <c r="K43" i="34"/>
  <c r="S43" i="34"/>
  <c r="K44" i="34"/>
  <c r="S44" i="34"/>
  <c r="K46" i="34"/>
  <c r="S46" i="34"/>
  <c r="K47" i="34"/>
  <c r="S47" i="34"/>
  <c r="K49" i="34"/>
  <c r="S49" i="34"/>
  <c r="S56" i="34"/>
  <c r="S55" i="34"/>
  <c r="S57" i="34"/>
  <c r="K61" i="34"/>
  <c r="S61" i="34"/>
  <c r="K63" i="34"/>
  <c r="S63" i="34"/>
  <c r="K65" i="34"/>
  <c r="S65" i="34"/>
  <c r="K67" i="34"/>
  <c r="S67" i="34"/>
  <c r="K69" i="34"/>
  <c r="S69" i="34"/>
  <c r="K71" i="34"/>
  <c r="S71" i="34"/>
  <c r="K75" i="34"/>
  <c r="S75" i="34"/>
  <c r="K79" i="34"/>
  <c r="S79" i="34"/>
  <c r="K74" i="34"/>
  <c r="S74" i="34"/>
  <c r="K76" i="34"/>
  <c r="S76" i="34"/>
  <c r="K78" i="34"/>
  <c r="S78" i="34"/>
  <c r="K84" i="34"/>
  <c r="S84" i="34"/>
  <c r="K81" i="34"/>
  <c r="S81" i="34"/>
  <c r="K83" i="34"/>
  <c r="S83" i="34"/>
  <c r="K85" i="34"/>
  <c r="S85" i="34"/>
  <c r="K87" i="34"/>
  <c r="S87" i="34"/>
  <c r="K90" i="34"/>
  <c r="S90" i="34"/>
  <c r="K94" i="34"/>
  <c r="S94" i="34"/>
  <c r="K98" i="34"/>
  <c r="S98" i="34"/>
  <c r="K93" i="34"/>
  <c r="S93" i="34"/>
  <c r="K99" i="34"/>
  <c r="S99" i="34"/>
  <c r="K104" i="34"/>
  <c r="S104" i="34"/>
  <c r="K105" i="34"/>
  <c r="S105" i="34"/>
  <c r="K109" i="34"/>
  <c r="S109" i="34"/>
  <c r="K113" i="34"/>
  <c r="S113" i="34"/>
  <c r="K108" i="34"/>
  <c r="S108" i="34"/>
  <c r="K112" i="34"/>
  <c r="S112" i="34"/>
  <c r="K116" i="34"/>
  <c r="S116" i="34"/>
  <c r="K95" i="34"/>
  <c r="S95" i="34"/>
  <c r="K6" i="34"/>
  <c r="S6" i="34"/>
  <c r="K10" i="34"/>
  <c r="S10" i="34"/>
  <c r="K14" i="34"/>
  <c r="S14" i="34"/>
  <c r="K7" i="34"/>
  <c r="S7" i="34"/>
  <c r="K9" i="34"/>
  <c r="S9" i="34"/>
  <c r="K11" i="34"/>
  <c r="S11" i="34"/>
  <c r="K13" i="34"/>
  <c r="S13" i="34"/>
  <c r="K15" i="34"/>
  <c r="S15" i="34"/>
  <c r="K17" i="34"/>
  <c r="S17" i="34"/>
  <c r="K19" i="34"/>
  <c r="S19" i="34"/>
  <c r="K23" i="34"/>
  <c r="S23" i="34"/>
  <c r="K24" i="34"/>
  <c r="S24" i="34"/>
  <c r="K28" i="34"/>
  <c r="S28" i="34"/>
  <c r="K32" i="34"/>
  <c r="S32" i="34"/>
  <c r="K36" i="34"/>
  <c r="S36" i="34"/>
  <c r="K40" i="34"/>
  <c r="S40" i="34"/>
  <c r="K42" i="34"/>
  <c r="S42" i="34"/>
  <c r="K48" i="34"/>
  <c r="S48" i="34"/>
  <c r="S58" i="34"/>
  <c r="K60" i="34"/>
  <c r="S60" i="34"/>
  <c r="K62" i="34"/>
  <c r="S62" i="34"/>
  <c r="K64" i="34"/>
  <c r="S64" i="34"/>
  <c r="K66" i="34"/>
  <c r="S66" i="34"/>
  <c r="K68" i="34"/>
  <c r="S68" i="34"/>
  <c r="K70" i="34"/>
  <c r="S70" i="34"/>
  <c r="K73" i="34"/>
  <c r="S73" i="34"/>
  <c r="K77" i="34"/>
  <c r="S77" i="34"/>
  <c r="K82" i="34"/>
  <c r="S82" i="34"/>
  <c r="K86" i="34"/>
  <c r="S86" i="34"/>
  <c r="K88" i="34"/>
  <c r="S88" i="34"/>
  <c r="K92" i="34"/>
  <c r="S92" i="34"/>
  <c r="K96" i="34"/>
  <c r="S96" i="34"/>
  <c r="K91" i="34"/>
  <c r="S91" i="34"/>
  <c r="K97" i="34"/>
  <c r="S97" i="34"/>
  <c r="K102" i="34"/>
  <c r="S102" i="34"/>
  <c r="K101" i="34"/>
  <c r="S101" i="34"/>
  <c r="K107" i="34"/>
  <c r="S107" i="34"/>
  <c r="K111" i="34"/>
  <c r="S111" i="34"/>
  <c r="K115" i="34"/>
  <c r="S115" i="34"/>
  <c r="K110" i="34"/>
  <c r="S110" i="34"/>
  <c r="K114" i="34"/>
  <c r="S114" i="34"/>
  <c r="K103" i="34"/>
  <c r="S103" i="34"/>
  <c r="E18" i="34"/>
  <c r="I116" i="34"/>
  <c r="G110" i="34"/>
  <c r="I110" i="34"/>
  <c r="M108" i="34"/>
  <c r="I108" i="34"/>
  <c r="G105" i="34"/>
  <c r="I105" i="34"/>
  <c r="E90" i="34"/>
  <c r="I90" i="34"/>
  <c r="I107" i="34"/>
  <c r="G115" i="34"/>
  <c r="I115" i="34"/>
  <c r="E113" i="34"/>
  <c r="I113" i="34"/>
  <c r="M111" i="34"/>
  <c r="I111" i="34"/>
  <c r="M109" i="34"/>
  <c r="I109" i="34"/>
  <c r="I101" i="34"/>
  <c r="G104" i="34"/>
  <c r="I104" i="34"/>
  <c r="M102" i="34"/>
  <c r="I102" i="34"/>
  <c r="M99" i="34"/>
  <c r="I99" i="34"/>
  <c r="G97" i="34"/>
  <c r="I97" i="34"/>
  <c r="M95" i="34"/>
  <c r="I95" i="34"/>
  <c r="G93" i="34"/>
  <c r="I93" i="34"/>
  <c r="M91" i="34"/>
  <c r="I91" i="34"/>
  <c r="E112" i="34"/>
  <c r="I112" i="34"/>
  <c r="E98" i="34"/>
  <c r="I98" i="34"/>
  <c r="E94" i="34"/>
  <c r="I94" i="34"/>
  <c r="M45" i="34"/>
  <c r="I45" i="34"/>
  <c r="E111" i="34"/>
  <c r="G109" i="34"/>
  <c r="E107" i="34"/>
  <c r="E115" i="34"/>
  <c r="G113" i="34"/>
  <c r="G107" i="34"/>
  <c r="M107" i="34"/>
  <c r="M116" i="34"/>
  <c r="E110" i="34"/>
  <c r="E116" i="34"/>
  <c r="G111" i="34"/>
  <c r="M113" i="34"/>
  <c r="M115" i="34"/>
  <c r="G108" i="34"/>
  <c r="E109" i="34"/>
  <c r="M110" i="34"/>
  <c r="G112" i="34"/>
  <c r="M114" i="34"/>
  <c r="G116" i="34"/>
  <c r="E108" i="34"/>
  <c r="E114" i="34"/>
  <c r="M112" i="34"/>
  <c r="G114" i="34"/>
  <c r="E101" i="34"/>
  <c r="M101" i="34"/>
  <c r="M103" i="34"/>
  <c r="G102" i="34"/>
  <c r="E103" i="34"/>
  <c r="M104" i="34"/>
  <c r="G103" i="34"/>
  <c r="M105" i="34"/>
  <c r="G101" i="34"/>
  <c r="E102" i="34"/>
  <c r="E104" i="34"/>
  <c r="E105" i="34"/>
  <c r="G90" i="34"/>
  <c r="E91" i="34"/>
  <c r="M92" i="34"/>
  <c r="G94" i="34"/>
  <c r="E95" i="34"/>
  <c r="M96" i="34"/>
  <c r="G98" i="34"/>
  <c r="E99" i="34"/>
  <c r="G91" i="34"/>
  <c r="E92" i="34"/>
  <c r="M93" i="34"/>
  <c r="G95" i="34"/>
  <c r="E96" i="34"/>
  <c r="M97" i="34"/>
  <c r="G99" i="34"/>
  <c r="M90" i="34"/>
  <c r="G92" i="34"/>
  <c r="E93" i="34"/>
  <c r="M94" i="34"/>
  <c r="G96" i="34"/>
  <c r="E97" i="34"/>
  <c r="M98" i="34"/>
  <c r="M53" i="34"/>
  <c r="E53" i="34"/>
  <c r="G45" i="34"/>
  <c r="E45" i="34"/>
  <c r="C43" i="33"/>
  <c r="D43" i="33"/>
  <c r="J30" i="33"/>
  <c r="K30" i="33" s="1"/>
  <c r="L30" i="33"/>
  <c r="M30" i="33" s="1"/>
  <c r="F30" i="33"/>
  <c r="G30" i="33" s="1"/>
  <c r="D30" i="33"/>
  <c r="E30" i="33" s="1"/>
  <c r="L75" i="33"/>
  <c r="M75" i="33" s="1"/>
  <c r="L74" i="33"/>
  <c r="M74" i="33" s="1"/>
  <c r="L73" i="33"/>
  <c r="M73" i="33" s="1"/>
  <c r="L72" i="33"/>
  <c r="M72" i="33" s="1"/>
  <c r="L71" i="33"/>
  <c r="M71" i="33" s="1"/>
  <c r="L70" i="33"/>
  <c r="M70" i="33" s="1"/>
  <c r="L69" i="33"/>
  <c r="M69" i="33" s="1"/>
  <c r="F75" i="33"/>
  <c r="G75" i="33" s="1"/>
  <c r="F74" i="33"/>
  <c r="G74" i="33" s="1"/>
  <c r="F73" i="33"/>
  <c r="G73" i="33" s="1"/>
  <c r="F72" i="33"/>
  <c r="G72" i="33" s="1"/>
  <c r="F71" i="33"/>
  <c r="G71" i="33" s="1"/>
  <c r="F70" i="33"/>
  <c r="G70" i="33" s="1"/>
  <c r="F69" i="33"/>
  <c r="G69" i="33" s="1"/>
  <c r="D75" i="33"/>
  <c r="E75" i="33" s="1"/>
  <c r="D74" i="33"/>
  <c r="E74" i="33" s="1"/>
  <c r="D73" i="33"/>
  <c r="E73" i="33" s="1"/>
  <c r="D72" i="33"/>
  <c r="E72" i="33" s="1"/>
  <c r="D71" i="33"/>
  <c r="E71" i="33" s="1"/>
  <c r="D70" i="33"/>
  <c r="E70" i="33" s="1"/>
  <c r="D69" i="33"/>
  <c r="E69" i="33" s="1"/>
  <c r="L64" i="33"/>
  <c r="M64" i="33" s="1"/>
  <c r="L63" i="33"/>
  <c r="M63" i="33" s="1"/>
  <c r="L62" i="33"/>
  <c r="M62" i="33" s="1"/>
  <c r="L61" i="33"/>
  <c r="M61" i="33" s="1"/>
  <c r="L60" i="33"/>
  <c r="M60" i="33" s="1"/>
  <c r="L59" i="33"/>
  <c r="M59" i="33" s="1"/>
  <c r="L58" i="33"/>
  <c r="M58" i="33" s="1"/>
  <c r="L57" i="33"/>
  <c r="M57" i="33" s="1"/>
  <c r="L56" i="33"/>
  <c r="M56" i="33" s="1"/>
  <c r="L55" i="33"/>
  <c r="M55" i="33" s="1"/>
  <c r="L54" i="33"/>
  <c r="M54" i="33" s="1"/>
  <c r="J62" i="33"/>
  <c r="K62" i="33" s="1"/>
  <c r="F64" i="33"/>
  <c r="G64" i="33" s="1"/>
  <c r="F63" i="33"/>
  <c r="G63" i="33" s="1"/>
  <c r="F62" i="33"/>
  <c r="G62" i="33" s="1"/>
  <c r="F61" i="33"/>
  <c r="G61" i="33" s="1"/>
  <c r="F60" i="33"/>
  <c r="G60" i="33" s="1"/>
  <c r="F59" i="33"/>
  <c r="G59" i="33" s="1"/>
  <c r="F58" i="33"/>
  <c r="G58" i="33" s="1"/>
  <c r="F57" i="33"/>
  <c r="G57" i="33" s="1"/>
  <c r="F56" i="33"/>
  <c r="G56" i="33" s="1"/>
  <c r="F55" i="33"/>
  <c r="G55" i="33" s="1"/>
  <c r="F54" i="33"/>
  <c r="G54" i="33" s="1"/>
  <c r="D62" i="33"/>
  <c r="E62" i="33" s="1"/>
  <c r="D61" i="33"/>
  <c r="E61" i="33" s="1"/>
  <c r="D60" i="33"/>
  <c r="E60" i="33" s="1"/>
  <c r="D63" i="33"/>
  <c r="E63" i="33" s="1"/>
  <c r="D59" i="33"/>
  <c r="E59" i="33" s="1"/>
  <c r="D58" i="33"/>
  <c r="E58" i="33" s="1"/>
  <c r="D57" i="33"/>
  <c r="E57" i="33" s="1"/>
  <c r="D64" i="33"/>
  <c r="E64" i="33" s="1"/>
  <c r="D56" i="33"/>
  <c r="E56" i="33" s="1"/>
  <c r="D55" i="33"/>
  <c r="E55" i="33" s="1"/>
  <c r="D54" i="33"/>
  <c r="E54" i="33" s="1"/>
  <c r="S53" i="34" l="1"/>
  <c r="K18" i="34"/>
  <c r="S18" i="34"/>
  <c r="I43" i="33"/>
  <c r="S43" i="33"/>
  <c r="Q43" i="33"/>
  <c r="O43" i="33"/>
  <c r="K45" i="34"/>
  <c r="S45" i="34"/>
  <c r="L51" i="33"/>
  <c r="M51" i="33" s="1"/>
  <c r="F51" i="33"/>
  <c r="G51" i="33" s="1"/>
  <c r="D51" i="33"/>
  <c r="E51" i="33" s="1"/>
  <c r="L50" i="33"/>
  <c r="M50" i="33" s="1"/>
  <c r="F50" i="33"/>
  <c r="G50" i="33" s="1"/>
  <c r="D50" i="33"/>
  <c r="E50" i="33" s="1"/>
  <c r="L49" i="33"/>
  <c r="M49" i="33" s="1"/>
  <c r="F49" i="33"/>
  <c r="G49" i="33" s="1"/>
  <c r="D49" i="33"/>
  <c r="E49" i="33" s="1"/>
  <c r="L48" i="33"/>
  <c r="M48" i="33" s="1"/>
  <c r="F48" i="33"/>
  <c r="G48" i="33" s="1"/>
  <c r="D48" i="33"/>
  <c r="E48" i="33" s="1"/>
  <c r="L47" i="33"/>
  <c r="M47" i="33" s="1"/>
  <c r="F47" i="33"/>
  <c r="G47" i="33" s="1"/>
  <c r="D47" i="33"/>
  <c r="E47" i="33" s="1"/>
  <c r="L46" i="33"/>
  <c r="M46" i="33" s="1"/>
  <c r="F46" i="33"/>
  <c r="G46" i="33" s="1"/>
  <c r="D46" i="33"/>
  <c r="E46" i="33" s="1"/>
  <c r="L45" i="33"/>
  <c r="M45" i="33" s="1"/>
  <c r="F45" i="33"/>
  <c r="G45" i="33" s="1"/>
  <c r="D45" i="33"/>
  <c r="E45" i="33" s="1"/>
  <c r="L44" i="33"/>
  <c r="M44" i="33" s="1"/>
  <c r="F44" i="33"/>
  <c r="G44" i="33" s="1"/>
  <c r="D44" i="33"/>
  <c r="E44" i="33" s="1"/>
  <c r="L43" i="33"/>
  <c r="M43" i="33" s="1"/>
  <c r="F43" i="33"/>
  <c r="G43" i="33" s="1"/>
  <c r="E43" i="33"/>
  <c r="D35" i="33"/>
  <c r="D36" i="33"/>
  <c r="E36" i="33" s="1"/>
  <c r="D37" i="33"/>
  <c r="D38" i="33"/>
  <c r="D39" i="33"/>
  <c r="D40" i="33"/>
  <c r="E40" i="33" s="1"/>
  <c r="D41" i="33"/>
  <c r="E41" i="33" s="1"/>
  <c r="D34" i="33"/>
  <c r="E34" i="33" s="1"/>
  <c r="E37" i="33"/>
  <c r="E38" i="33"/>
  <c r="L35" i="33"/>
  <c r="L36" i="33"/>
  <c r="M36" i="33" s="1"/>
  <c r="L37" i="33"/>
  <c r="M37" i="33" s="1"/>
  <c r="L38" i="33"/>
  <c r="M38" i="33" s="1"/>
  <c r="L39" i="33"/>
  <c r="M39" i="33" s="1"/>
  <c r="L40" i="33"/>
  <c r="M40" i="33" s="1"/>
  <c r="L41" i="33"/>
  <c r="M41" i="33" s="1"/>
  <c r="F35" i="33"/>
  <c r="F36" i="33"/>
  <c r="G36" i="33" s="1"/>
  <c r="F37" i="33"/>
  <c r="G37" i="33" s="1"/>
  <c r="F38" i="33"/>
  <c r="G38" i="33" s="1"/>
  <c r="F39" i="33"/>
  <c r="G39" i="33" s="1"/>
  <c r="F40" i="33"/>
  <c r="G40" i="33" s="1"/>
  <c r="F41" i="33"/>
  <c r="G41" i="33" s="1"/>
  <c r="E39" i="33"/>
  <c r="L34" i="33"/>
  <c r="M34" i="33" s="1"/>
  <c r="F34" i="33"/>
  <c r="G34" i="33" s="1"/>
  <c r="L28" i="33"/>
  <c r="M28" i="33" s="1"/>
  <c r="L27" i="33"/>
  <c r="M27" i="33" s="1"/>
  <c r="F28" i="33"/>
  <c r="G28" i="33" s="1"/>
  <c r="F27" i="33"/>
  <c r="G27" i="33" s="1"/>
  <c r="D28" i="33"/>
  <c r="E28" i="33" s="1"/>
  <c r="D27" i="33"/>
  <c r="E27" i="33" s="1"/>
  <c r="L25" i="33"/>
  <c r="M25" i="33" s="1"/>
  <c r="F25" i="33"/>
  <c r="G25" i="33" s="1"/>
  <c r="D25" i="33"/>
  <c r="E25" i="33" s="1"/>
  <c r="L23" i="33"/>
  <c r="M23" i="33" s="1"/>
  <c r="L22" i="33"/>
  <c r="M22" i="33" s="1"/>
  <c r="L21" i="33"/>
  <c r="M21" i="33" s="1"/>
  <c r="L20" i="33"/>
  <c r="M20" i="33" s="1"/>
  <c r="L19" i="33"/>
  <c r="M19" i="33" s="1"/>
  <c r="L18" i="33"/>
  <c r="M18" i="33" s="1"/>
  <c r="L17" i="33"/>
  <c r="M17" i="33" s="1"/>
  <c r="N8" i="30"/>
  <c r="N7" i="30"/>
  <c r="J8" i="30"/>
  <c r="J7" i="30"/>
  <c r="H8" i="30"/>
  <c r="H7" i="30"/>
  <c r="N7" i="29"/>
  <c r="J7" i="29"/>
  <c r="H7" i="29"/>
  <c r="N7" i="31"/>
  <c r="J7" i="31"/>
  <c r="H7" i="31"/>
  <c r="N9" i="19"/>
  <c r="N10" i="19"/>
  <c r="N11" i="19"/>
  <c r="N12" i="19"/>
  <c r="N13" i="19"/>
  <c r="N14" i="19"/>
  <c r="N7" i="19"/>
  <c r="J9" i="19"/>
  <c r="J10" i="19"/>
  <c r="J11" i="19"/>
  <c r="J12" i="19"/>
  <c r="J13" i="19"/>
  <c r="J14" i="19"/>
  <c r="J7" i="19"/>
  <c r="H9" i="19"/>
  <c r="H10" i="19"/>
  <c r="H11" i="19"/>
  <c r="H12" i="19"/>
  <c r="H13" i="19"/>
  <c r="H14" i="19"/>
  <c r="H7" i="19"/>
  <c r="N8" i="20"/>
  <c r="N9" i="20"/>
  <c r="N10" i="20"/>
  <c r="N11" i="20"/>
  <c r="N12" i="20"/>
  <c r="N13" i="20"/>
  <c r="J8" i="20"/>
  <c r="J9" i="20"/>
  <c r="J10" i="20"/>
  <c r="J11" i="20"/>
  <c r="J12" i="20"/>
  <c r="J13" i="20"/>
  <c r="H8" i="20"/>
  <c r="H9" i="20"/>
  <c r="H10" i="20"/>
  <c r="H11" i="20"/>
  <c r="H12" i="20"/>
  <c r="H13" i="20"/>
  <c r="H7" i="20"/>
  <c r="J23" i="32"/>
  <c r="J24" i="32"/>
  <c r="J25" i="32"/>
  <c r="J26" i="32"/>
  <c r="J27" i="32"/>
  <c r="J28" i="32"/>
  <c r="H23" i="32"/>
  <c r="H24" i="32"/>
  <c r="H25" i="32"/>
  <c r="H26" i="32"/>
  <c r="H27" i="32"/>
  <c r="H28" i="32"/>
  <c r="N8" i="32"/>
  <c r="N9" i="32"/>
  <c r="N10" i="32"/>
  <c r="N11" i="32"/>
  <c r="N12" i="32"/>
  <c r="N13" i="32"/>
  <c r="N14" i="32"/>
  <c r="N15" i="32"/>
  <c r="N16" i="32"/>
  <c r="N7" i="32"/>
  <c r="J8" i="32"/>
  <c r="J9" i="32"/>
  <c r="J10" i="32"/>
  <c r="J11" i="32"/>
  <c r="J12" i="32"/>
  <c r="J13" i="32"/>
  <c r="J14" i="32"/>
  <c r="J15" i="32"/>
  <c r="J16" i="32"/>
  <c r="J7" i="32"/>
  <c r="H8" i="32"/>
  <c r="H9" i="32"/>
  <c r="H10" i="32"/>
  <c r="H11" i="32"/>
  <c r="H12" i="32"/>
  <c r="H13" i="32"/>
  <c r="H14" i="32"/>
  <c r="H15" i="32"/>
  <c r="H16" i="32"/>
  <c r="H7" i="32"/>
  <c r="L8" i="21"/>
  <c r="L9" i="21"/>
  <c r="L10" i="21"/>
  <c r="L11" i="21"/>
  <c r="L12" i="21"/>
  <c r="L13" i="21"/>
  <c r="L14" i="21"/>
  <c r="L7" i="21"/>
  <c r="F8" i="21"/>
  <c r="F9" i="21"/>
  <c r="F10" i="21"/>
  <c r="F11" i="21"/>
  <c r="F12" i="21"/>
  <c r="F13" i="21"/>
  <c r="F14" i="21"/>
  <c r="F7" i="21"/>
  <c r="D8" i="21"/>
  <c r="D9" i="21"/>
  <c r="D10" i="21"/>
  <c r="D11" i="21"/>
  <c r="D12" i="21"/>
  <c r="D13" i="21"/>
  <c r="D14" i="21"/>
  <c r="D7" i="21"/>
  <c r="L8" i="24"/>
  <c r="L7" i="24"/>
  <c r="F8" i="24"/>
  <c r="F7" i="24"/>
  <c r="D8" i="24"/>
  <c r="D7" i="24"/>
  <c r="L8" i="23"/>
  <c r="L7" i="23"/>
  <c r="F8" i="23"/>
  <c r="F7" i="23"/>
  <c r="D8" i="23"/>
  <c r="D7" i="23"/>
  <c r="L8" i="22"/>
  <c r="L7" i="22"/>
  <c r="F8" i="22"/>
  <c r="F7" i="22"/>
  <c r="D8" i="22"/>
  <c r="D7" i="22"/>
  <c r="N7" i="25"/>
  <c r="J7" i="25"/>
  <c r="H7" i="25"/>
  <c r="N8" i="14"/>
  <c r="N9" i="14"/>
  <c r="N7" i="14"/>
  <c r="J8" i="14"/>
  <c r="J9" i="14"/>
  <c r="J7" i="14"/>
  <c r="H8" i="14"/>
  <c r="H9" i="14"/>
  <c r="H7" i="14"/>
  <c r="N8" i="13"/>
  <c r="N9" i="13"/>
  <c r="N10" i="13"/>
  <c r="N11" i="13"/>
  <c r="N7" i="13"/>
  <c r="J8" i="13"/>
  <c r="J9" i="13"/>
  <c r="J10" i="13"/>
  <c r="J11" i="13"/>
  <c r="J7" i="13"/>
  <c r="H8" i="13"/>
  <c r="H9" i="13"/>
  <c r="H10" i="13"/>
  <c r="H11" i="13"/>
  <c r="H7" i="13"/>
  <c r="N8" i="12"/>
  <c r="N9" i="12"/>
  <c r="N10" i="12"/>
  <c r="N11" i="12"/>
  <c r="N12" i="12"/>
  <c r="N13" i="12"/>
  <c r="N14" i="12"/>
  <c r="N7" i="12"/>
  <c r="J8" i="12"/>
  <c r="J9" i="12"/>
  <c r="J10" i="12"/>
  <c r="J11" i="12"/>
  <c r="J12" i="12"/>
  <c r="J13" i="12"/>
  <c r="J14" i="12"/>
  <c r="J7" i="12"/>
  <c r="H8" i="12"/>
  <c r="H9" i="12"/>
  <c r="H10" i="12"/>
  <c r="H11" i="12"/>
  <c r="H12" i="12"/>
  <c r="H13" i="12"/>
  <c r="H14" i="12"/>
  <c r="H7" i="12"/>
  <c r="N8" i="11"/>
  <c r="N9" i="11"/>
  <c r="N10" i="11"/>
  <c r="N11" i="11"/>
  <c r="N7" i="11"/>
  <c r="J8" i="11"/>
  <c r="J9" i="11"/>
  <c r="J10" i="11"/>
  <c r="J11" i="11"/>
  <c r="J7" i="11"/>
  <c r="H8" i="11"/>
  <c r="H9" i="11"/>
  <c r="H10" i="11"/>
  <c r="H11" i="11"/>
  <c r="H7" i="11"/>
  <c r="N8" i="10"/>
  <c r="N9" i="10"/>
  <c r="N10" i="10"/>
  <c r="N11" i="10"/>
  <c r="N7" i="10"/>
  <c r="J8" i="10"/>
  <c r="J9" i="10"/>
  <c r="J10" i="10"/>
  <c r="J11" i="10"/>
  <c r="J7" i="10"/>
  <c r="H8" i="10"/>
  <c r="H9" i="10"/>
  <c r="H10" i="10"/>
  <c r="H11" i="10"/>
  <c r="H7" i="10"/>
  <c r="N8" i="9" l="1"/>
  <c r="N9" i="9"/>
  <c r="N12" i="9"/>
  <c r="N7" i="9"/>
  <c r="J8" i="9"/>
  <c r="J9" i="9"/>
  <c r="J12" i="9"/>
  <c r="J7" i="9"/>
  <c r="H8" i="9"/>
  <c r="H9" i="9"/>
  <c r="H12" i="9"/>
  <c r="H7" i="9"/>
  <c r="N8" i="8"/>
  <c r="N9" i="8"/>
  <c r="N10" i="8"/>
  <c r="N11" i="8"/>
  <c r="N7" i="8"/>
  <c r="J8" i="8"/>
  <c r="J9" i="8"/>
  <c r="J10" i="8"/>
  <c r="J11" i="8"/>
  <c r="J7" i="8"/>
  <c r="H8" i="8"/>
  <c r="H9" i="8"/>
  <c r="H10" i="8"/>
  <c r="H11" i="8"/>
  <c r="H7" i="8"/>
  <c r="N8" i="7"/>
  <c r="N9" i="7"/>
  <c r="N10" i="7"/>
  <c r="N11" i="7"/>
  <c r="N12" i="7"/>
  <c r="N7" i="7"/>
  <c r="J8" i="7"/>
  <c r="J9" i="7"/>
  <c r="J10" i="7"/>
  <c r="J11" i="7"/>
  <c r="J12" i="7"/>
  <c r="J7" i="7"/>
  <c r="H8" i="7"/>
  <c r="H9" i="7"/>
  <c r="H10" i="7"/>
  <c r="H11" i="7"/>
  <c r="H12" i="7"/>
  <c r="H7" i="7"/>
  <c r="N8" i="6"/>
  <c r="N9" i="6"/>
  <c r="N10" i="6"/>
  <c r="N11" i="6"/>
  <c r="N12" i="6"/>
  <c r="N7" i="6"/>
  <c r="J8" i="6"/>
  <c r="J9" i="6"/>
  <c r="J10" i="6"/>
  <c r="J11" i="6"/>
  <c r="J12" i="6"/>
  <c r="J7" i="6"/>
  <c r="H8" i="6"/>
  <c r="H9" i="6"/>
  <c r="H10" i="6"/>
  <c r="H11" i="6"/>
  <c r="H12" i="6"/>
  <c r="H7" i="6"/>
  <c r="N8" i="5"/>
  <c r="N9" i="5"/>
  <c r="N10" i="5"/>
  <c r="N7" i="5"/>
  <c r="J8" i="5"/>
  <c r="J9" i="5"/>
  <c r="J10" i="5"/>
  <c r="J7" i="5"/>
  <c r="H8" i="5"/>
  <c r="H9" i="5"/>
  <c r="H10" i="5"/>
  <c r="H7" i="5"/>
  <c r="N8" i="4"/>
  <c r="N9" i="4"/>
  <c r="N10" i="4"/>
  <c r="N11" i="4"/>
  <c r="N12" i="4"/>
  <c r="N7" i="4"/>
  <c r="J8" i="4"/>
  <c r="J9" i="4"/>
  <c r="J10" i="4"/>
  <c r="J11" i="4"/>
  <c r="J12" i="4"/>
  <c r="J7" i="4"/>
  <c r="H8" i="4"/>
  <c r="H9" i="4"/>
  <c r="H10" i="4"/>
  <c r="H11" i="4"/>
  <c r="H12" i="4"/>
  <c r="H7" i="4"/>
  <c r="J56" i="33"/>
  <c r="K56" i="33" s="1"/>
  <c r="J8" i="3"/>
  <c r="J9" i="3"/>
  <c r="J10" i="3"/>
  <c r="J11" i="3"/>
  <c r="J12" i="3"/>
  <c r="J13" i="3"/>
  <c r="J14" i="3"/>
  <c r="J15" i="3"/>
  <c r="J16" i="3"/>
  <c r="J7" i="3"/>
  <c r="H8" i="3"/>
  <c r="H9" i="3"/>
  <c r="H10" i="3"/>
  <c r="H11" i="3"/>
  <c r="H12" i="3"/>
  <c r="H13" i="3"/>
  <c r="H14" i="3"/>
  <c r="H15" i="3"/>
  <c r="H16" i="3"/>
  <c r="H7" i="3"/>
  <c r="F23" i="33"/>
  <c r="G23" i="33" s="1"/>
  <c r="F22" i="33"/>
  <c r="G22" i="33" s="1"/>
  <c r="F21" i="33"/>
  <c r="G21" i="33" s="1"/>
  <c r="F20" i="33"/>
  <c r="G20" i="33" s="1"/>
  <c r="F19" i="33"/>
  <c r="G19" i="33" s="1"/>
  <c r="F18" i="33"/>
  <c r="G18" i="33" s="1"/>
  <c r="F17" i="33"/>
  <c r="G17" i="33" s="1"/>
  <c r="D23" i="33"/>
  <c r="D22" i="33"/>
  <c r="D21" i="33"/>
  <c r="D20" i="33"/>
  <c r="D19" i="33"/>
  <c r="D18" i="33"/>
  <c r="D17" i="33"/>
  <c r="M15" i="33"/>
  <c r="M14" i="33"/>
  <c r="M13" i="33"/>
  <c r="M11" i="33"/>
  <c r="M10" i="33"/>
  <c r="M9" i="33"/>
  <c r="M8" i="33"/>
  <c r="M7" i="33"/>
  <c r="F15" i="33"/>
  <c r="G15" i="33" s="1"/>
  <c r="F14" i="33"/>
  <c r="G14" i="33" s="1"/>
  <c r="F13" i="33"/>
  <c r="G13" i="33" s="1"/>
  <c r="F12" i="33"/>
  <c r="G12" i="33" s="1"/>
  <c r="F11" i="33"/>
  <c r="G11" i="33" s="1"/>
  <c r="F10" i="33"/>
  <c r="G10" i="33" s="1"/>
  <c r="F9" i="33"/>
  <c r="G9" i="33" s="1"/>
  <c r="F8" i="33"/>
  <c r="G8" i="33" s="1"/>
  <c r="F7" i="33"/>
  <c r="G7" i="33" s="1"/>
  <c r="F6" i="33"/>
  <c r="G6" i="33" s="1"/>
  <c r="D15" i="33"/>
  <c r="D14" i="33"/>
  <c r="D13" i="33"/>
  <c r="D12" i="33"/>
  <c r="D11" i="33"/>
  <c r="D10" i="33"/>
  <c r="D9" i="33"/>
  <c r="D8" i="33"/>
  <c r="D7" i="33"/>
  <c r="D6" i="33"/>
  <c r="E6" i="33" s="1"/>
  <c r="J27" i="33" l="1"/>
  <c r="K27" i="33" s="1"/>
  <c r="J28" i="33"/>
  <c r="K28" i="33" s="1"/>
  <c r="E8" i="33"/>
  <c r="E12" i="33"/>
  <c r="E19" i="33"/>
  <c r="E23" i="33"/>
  <c r="E7" i="33"/>
  <c r="E9" i="33"/>
  <c r="E11" i="33"/>
  <c r="E13" i="33"/>
  <c r="E15" i="33"/>
  <c r="E18" i="33"/>
  <c r="E20" i="33"/>
  <c r="E22" i="33"/>
  <c r="E10" i="33"/>
  <c r="E14" i="33"/>
  <c r="E21" i="33"/>
  <c r="E17" i="33"/>
  <c r="N7" i="20"/>
  <c r="J7" i="20"/>
  <c r="M29" i="32" l="1"/>
  <c r="B29" i="32"/>
  <c r="I29" i="32"/>
  <c r="N28" i="32"/>
  <c r="N27" i="32"/>
  <c r="N26" i="32"/>
  <c r="N25" i="32"/>
  <c r="N24" i="32"/>
  <c r="N23" i="32"/>
  <c r="N22" i="32"/>
  <c r="J22" i="32"/>
  <c r="H22" i="32"/>
  <c r="G29" i="32"/>
  <c r="B17" i="32"/>
  <c r="M17" i="32"/>
  <c r="I17" i="32"/>
  <c r="J17" i="32" s="1"/>
  <c r="G17" i="32"/>
  <c r="M8" i="31"/>
  <c r="B8" i="31"/>
  <c r="I8" i="31"/>
  <c r="G8" i="31"/>
  <c r="M9" i="30"/>
  <c r="B9" i="30"/>
  <c r="I9" i="30"/>
  <c r="G9" i="30"/>
  <c r="M8" i="29"/>
  <c r="B8" i="29"/>
  <c r="I8" i="29"/>
  <c r="G8" i="29"/>
  <c r="B16" i="19"/>
  <c r="J39" i="33"/>
  <c r="K39" i="33" s="1"/>
  <c r="B15" i="21"/>
  <c r="K15" i="21"/>
  <c r="Q15" i="21" s="1"/>
  <c r="C9" i="22"/>
  <c r="K12" i="27"/>
  <c r="I11" i="27"/>
  <c r="I10" i="27"/>
  <c r="K9" i="27"/>
  <c r="I6" i="27"/>
  <c r="K5" i="27"/>
  <c r="I5" i="27"/>
  <c r="I16" i="19"/>
  <c r="M16" i="19"/>
  <c r="E15" i="21"/>
  <c r="M11" i="25"/>
  <c r="B11" i="25"/>
  <c r="I11" i="25"/>
  <c r="F33" i="38" s="1"/>
  <c r="G33" i="38" s="1"/>
  <c r="G11" i="25"/>
  <c r="D33" i="38" s="1"/>
  <c r="E33" i="38" s="1"/>
  <c r="K9" i="24"/>
  <c r="Q9" i="24" s="1"/>
  <c r="R9" i="24" s="1"/>
  <c r="E9" i="24"/>
  <c r="C9" i="24"/>
  <c r="B9" i="24"/>
  <c r="K9" i="23"/>
  <c r="Q9" i="23" s="1"/>
  <c r="R9" i="23" s="1"/>
  <c r="E9" i="23"/>
  <c r="C9" i="23"/>
  <c r="B9" i="23"/>
  <c r="K9" i="22"/>
  <c r="Q9" i="22" s="1"/>
  <c r="E9" i="22"/>
  <c r="B9" i="22"/>
  <c r="C15" i="21"/>
  <c r="I15" i="21" s="1"/>
  <c r="M14" i="20"/>
  <c r="I14" i="20"/>
  <c r="G14" i="20"/>
  <c r="B14" i="20"/>
  <c r="G16" i="19"/>
  <c r="J35" i="33"/>
  <c r="J34" i="33"/>
  <c r="K34" i="33" s="1"/>
  <c r="B10" i="14"/>
  <c r="M10" i="14"/>
  <c r="I10" i="14"/>
  <c r="G10" i="14"/>
  <c r="B12" i="13"/>
  <c r="M12" i="13"/>
  <c r="I12" i="13"/>
  <c r="G12" i="13"/>
  <c r="G15" i="12"/>
  <c r="B15" i="12"/>
  <c r="M15" i="12"/>
  <c r="I15" i="12"/>
  <c r="M12" i="11"/>
  <c r="I12" i="11"/>
  <c r="G12" i="11"/>
  <c r="B12" i="11"/>
  <c r="M12" i="10"/>
  <c r="I12" i="10"/>
  <c r="G12" i="10"/>
  <c r="B12" i="10"/>
  <c r="B13" i="9"/>
  <c r="G12" i="8"/>
  <c r="M13" i="9"/>
  <c r="I13" i="9"/>
  <c r="G13" i="9"/>
  <c r="M12" i="8"/>
  <c r="I12" i="8"/>
  <c r="B12" i="8"/>
  <c r="F26" i="34"/>
  <c r="M15" i="7"/>
  <c r="I15" i="7"/>
  <c r="G15" i="7"/>
  <c r="B15" i="7"/>
  <c r="B13" i="6"/>
  <c r="M13" i="6"/>
  <c r="I13" i="6"/>
  <c r="G13" i="6"/>
  <c r="M11" i="5"/>
  <c r="I11" i="5"/>
  <c r="G11" i="5"/>
  <c r="B11" i="5"/>
  <c r="M13" i="4"/>
  <c r="I13" i="4"/>
  <c r="G13" i="4"/>
  <c r="B13" i="4"/>
  <c r="B17" i="3"/>
  <c r="M17" i="3"/>
  <c r="I17" i="3"/>
  <c r="J17" i="3" s="1"/>
  <c r="G17" i="3"/>
  <c r="T17" i="3" l="1"/>
  <c r="V17" i="3"/>
  <c r="X17" i="3"/>
  <c r="Z17" i="3"/>
  <c r="Z13" i="6"/>
  <c r="X13" i="6"/>
  <c r="V13" i="6"/>
  <c r="T13" i="6"/>
  <c r="D13" i="6"/>
  <c r="F13" i="6"/>
  <c r="X13" i="9"/>
  <c r="Z13" i="9"/>
  <c r="T13" i="9"/>
  <c r="V13" i="9"/>
  <c r="F13" i="9"/>
  <c r="D13" i="9"/>
  <c r="V15" i="12"/>
  <c r="X15" i="12"/>
  <c r="Z15" i="12"/>
  <c r="T15" i="12"/>
  <c r="F15" i="12"/>
  <c r="D15" i="12"/>
  <c r="T12" i="13"/>
  <c r="V12" i="13"/>
  <c r="X12" i="13"/>
  <c r="Z12" i="13"/>
  <c r="F12" i="13"/>
  <c r="D12" i="13"/>
  <c r="Z10" i="14"/>
  <c r="X10" i="14"/>
  <c r="V10" i="14"/>
  <c r="T10" i="14"/>
  <c r="F10" i="14"/>
  <c r="D10" i="14"/>
  <c r="T14" i="20"/>
  <c r="V14" i="20"/>
  <c r="X14" i="20"/>
  <c r="Z14" i="20"/>
  <c r="F14" i="20"/>
  <c r="D14" i="20"/>
  <c r="T11" i="25"/>
  <c r="Z11" i="25"/>
  <c r="X11" i="25"/>
  <c r="V11" i="25"/>
  <c r="F11" i="25"/>
  <c r="D11" i="25"/>
  <c r="Z16" i="19"/>
  <c r="X16" i="19"/>
  <c r="V16" i="19"/>
  <c r="T16" i="19"/>
  <c r="Z13" i="4"/>
  <c r="X13" i="4"/>
  <c r="V13" i="4"/>
  <c r="T13" i="4"/>
  <c r="F13" i="4"/>
  <c r="D13" i="4"/>
  <c r="X12" i="8"/>
  <c r="Z12" i="8"/>
  <c r="T12" i="8"/>
  <c r="V12" i="8"/>
  <c r="F12" i="8"/>
  <c r="D12" i="8"/>
  <c r="Z12" i="10"/>
  <c r="X12" i="10"/>
  <c r="V12" i="10"/>
  <c r="T12" i="10"/>
  <c r="F12" i="10"/>
  <c r="D12" i="10"/>
  <c r="Z12" i="11"/>
  <c r="T12" i="11"/>
  <c r="V12" i="11"/>
  <c r="X12" i="11"/>
  <c r="F12" i="11"/>
  <c r="D12" i="11"/>
  <c r="X8" i="29"/>
  <c r="V8" i="29"/>
  <c r="T8" i="29"/>
  <c r="Z8" i="29"/>
  <c r="F8" i="29"/>
  <c r="D8" i="29"/>
  <c r="Z9" i="30"/>
  <c r="X9" i="30"/>
  <c r="V9" i="30"/>
  <c r="T9" i="30"/>
  <c r="F9" i="30"/>
  <c r="D9" i="30"/>
  <c r="Z8" i="31"/>
  <c r="V8" i="31"/>
  <c r="X8" i="31"/>
  <c r="T8" i="31"/>
  <c r="F8" i="31"/>
  <c r="D8" i="31"/>
  <c r="V29" i="32"/>
  <c r="T29" i="32"/>
  <c r="Z29" i="32"/>
  <c r="X29" i="32"/>
  <c r="V17" i="32"/>
  <c r="T17" i="32"/>
  <c r="Z17" i="32"/>
  <c r="X17" i="32"/>
  <c r="D29" i="32"/>
  <c r="F29" i="32"/>
  <c r="D17" i="32"/>
  <c r="F17" i="32"/>
  <c r="Z15" i="7"/>
  <c r="X15" i="7"/>
  <c r="V15" i="7"/>
  <c r="T15" i="7"/>
  <c r="D15" i="7"/>
  <c r="F15" i="7"/>
  <c r="R16" i="19"/>
  <c r="D16" i="19"/>
  <c r="F16" i="19"/>
  <c r="Z11" i="5"/>
  <c r="X11" i="5"/>
  <c r="V11" i="5"/>
  <c r="T11" i="5"/>
  <c r="F11" i="5"/>
  <c r="D11" i="5"/>
  <c r="D17" i="3"/>
  <c r="F17" i="3"/>
  <c r="H9" i="24"/>
  <c r="P9" i="24"/>
  <c r="N9" i="24"/>
  <c r="H9" i="23"/>
  <c r="P9" i="23"/>
  <c r="N9" i="23"/>
  <c r="J15" i="21"/>
  <c r="R15" i="21"/>
  <c r="L17" i="32"/>
  <c r="P17" i="32"/>
  <c r="R17" i="32"/>
  <c r="L29" i="32"/>
  <c r="R29" i="32"/>
  <c r="P29" i="32"/>
  <c r="L8" i="31"/>
  <c r="R8" i="31"/>
  <c r="P8" i="31"/>
  <c r="L10" i="14"/>
  <c r="R10" i="14"/>
  <c r="P10" i="14"/>
  <c r="L12" i="13"/>
  <c r="P12" i="13"/>
  <c r="R12" i="13"/>
  <c r="L8" i="29"/>
  <c r="R8" i="29"/>
  <c r="P8" i="29"/>
  <c r="L9" i="30"/>
  <c r="R9" i="30"/>
  <c r="P9" i="30"/>
  <c r="L14" i="20"/>
  <c r="P14" i="20"/>
  <c r="R14" i="20"/>
  <c r="L15" i="12"/>
  <c r="P15" i="12"/>
  <c r="R15" i="12"/>
  <c r="L11" i="25"/>
  <c r="R11" i="25"/>
  <c r="P11" i="25"/>
  <c r="I13" i="27"/>
  <c r="H9" i="22"/>
  <c r="N9" i="22"/>
  <c r="P9" i="22"/>
  <c r="R9" i="22"/>
  <c r="N15" i="21"/>
  <c r="P15" i="21"/>
  <c r="N12" i="13"/>
  <c r="N15" i="12"/>
  <c r="L33" i="38"/>
  <c r="L16" i="19"/>
  <c r="P16" i="19"/>
  <c r="I9" i="24"/>
  <c r="J9" i="24" s="1"/>
  <c r="P11" i="5"/>
  <c r="R11" i="5"/>
  <c r="L17" i="3"/>
  <c r="R17" i="3"/>
  <c r="P17" i="3"/>
  <c r="L13" i="4"/>
  <c r="P13" i="4"/>
  <c r="R13" i="4"/>
  <c r="N11" i="5"/>
  <c r="J13" i="9"/>
  <c r="N10" i="14"/>
  <c r="J16" i="19"/>
  <c r="N17" i="32"/>
  <c r="L12" i="33"/>
  <c r="M12" i="33" s="1"/>
  <c r="N13" i="6"/>
  <c r="R13" i="6"/>
  <c r="P13" i="6"/>
  <c r="L12" i="8"/>
  <c r="R12" i="8"/>
  <c r="P12" i="8"/>
  <c r="L13" i="9"/>
  <c r="R13" i="9"/>
  <c r="P13" i="9"/>
  <c r="L12" i="10"/>
  <c r="P12" i="10"/>
  <c r="R12" i="10"/>
  <c r="L12" i="11"/>
  <c r="P12" i="11"/>
  <c r="R12" i="11"/>
  <c r="O33" i="38"/>
  <c r="J12" i="10"/>
  <c r="N13" i="9"/>
  <c r="J12" i="8"/>
  <c r="L15" i="7"/>
  <c r="P15" i="7"/>
  <c r="R15" i="7"/>
  <c r="J13" i="4"/>
  <c r="K13" i="27"/>
  <c r="H17" i="3"/>
  <c r="N17" i="3"/>
  <c r="J13" i="6"/>
  <c r="J15" i="7"/>
  <c r="L26" i="34"/>
  <c r="R26" i="34" s="1"/>
  <c r="D26" i="34"/>
  <c r="J26" i="34" s="1"/>
  <c r="J15" i="12"/>
  <c r="J12" i="13"/>
  <c r="I9" i="23"/>
  <c r="J9" i="23" s="1"/>
  <c r="F9" i="24"/>
  <c r="I9" i="22"/>
  <c r="J9" i="22" s="1"/>
  <c r="J8" i="29"/>
  <c r="H29" i="32"/>
  <c r="J29" i="32"/>
  <c r="H11" i="5"/>
  <c r="H13" i="6"/>
  <c r="H13" i="9"/>
  <c r="H12" i="13"/>
  <c r="H10" i="14"/>
  <c r="H14" i="20"/>
  <c r="N14" i="20"/>
  <c r="H9" i="30"/>
  <c r="H8" i="31"/>
  <c r="D117" i="34"/>
  <c r="F117" i="34"/>
  <c r="J9" i="30"/>
  <c r="N9" i="30"/>
  <c r="L117" i="34"/>
  <c r="R117" i="34" s="1"/>
  <c r="C117" i="34"/>
  <c r="D106" i="34"/>
  <c r="C106" i="34"/>
  <c r="H8" i="29"/>
  <c r="N8" i="29"/>
  <c r="F106" i="34"/>
  <c r="L106" i="34"/>
  <c r="J8" i="31"/>
  <c r="N8" i="31"/>
  <c r="L100" i="34"/>
  <c r="C100" i="34"/>
  <c r="F100" i="34"/>
  <c r="J25" i="33"/>
  <c r="K25" i="33" s="1"/>
  <c r="D100" i="34"/>
  <c r="J36" i="33"/>
  <c r="K36" i="33" s="1"/>
  <c r="C89" i="34"/>
  <c r="J37" i="33"/>
  <c r="K37" i="33" s="1"/>
  <c r="H16" i="19"/>
  <c r="F89" i="34"/>
  <c r="N16" i="19"/>
  <c r="J38" i="33"/>
  <c r="K38" i="33" s="1"/>
  <c r="J40" i="33"/>
  <c r="K40" i="33" s="1"/>
  <c r="J41" i="33"/>
  <c r="K41" i="33" s="1"/>
  <c r="D89" i="34"/>
  <c r="J89" i="34" s="1"/>
  <c r="L89" i="34"/>
  <c r="R89" i="34" s="1"/>
  <c r="D80" i="34"/>
  <c r="F80" i="34"/>
  <c r="J69" i="33"/>
  <c r="K69" i="33" s="1"/>
  <c r="J73" i="33"/>
  <c r="K73" i="33" s="1"/>
  <c r="J72" i="33"/>
  <c r="K72" i="33" s="1"/>
  <c r="J70" i="33"/>
  <c r="K70" i="33" s="1"/>
  <c r="J74" i="33"/>
  <c r="K74" i="33" s="1"/>
  <c r="J75" i="33"/>
  <c r="K75" i="33" s="1"/>
  <c r="J71" i="33"/>
  <c r="K71" i="33" s="1"/>
  <c r="J14" i="20"/>
  <c r="L80" i="34"/>
  <c r="R80" i="34" s="1"/>
  <c r="C80" i="34"/>
  <c r="J7" i="33"/>
  <c r="K7" i="33" s="1"/>
  <c r="J8" i="33"/>
  <c r="K8" i="33" s="1"/>
  <c r="J10" i="33"/>
  <c r="K10" i="33" s="1"/>
  <c r="J12" i="33"/>
  <c r="K12" i="33" s="1"/>
  <c r="F72" i="34"/>
  <c r="J17" i="33"/>
  <c r="K17" i="33" s="1"/>
  <c r="J18" i="33"/>
  <c r="K18" i="33" s="1"/>
  <c r="J19" i="33"/>
  <c r="K19" i="33" s="1"/>
  <c r="J20" i="33"/>
  <c r="K20" i="33" s="1"/>
  <c r="J21" i="33"/>
  <c r="K21" i="33" s="1"/>
  <c r="J22" i="33"/>
  <c r="K22" i="33" s="1"/>
  <c r="J23" i="33"/>
  <c r="K23" i="33" s="1"/>
  <c r="J9" i="33"/>
  <c r="K9" i="33" s="1"/>
  <c r="J11" i="33"/>
  <c r="K11" i="33" s="1"/>
  <c r="J13" i="33"/>
  <c r="K13" i="33" s="1"/>
  <c r="J14" i="33"/>
  <c r="K14" i="33" s="1"/>
  <c r="J15" i="33"/>
  <c r="K15" i="33" s="1"/>
  <c r="H17" i="32"/>
  <c r="L72" i="34"/>
  <c r="R72" i="34" s="1"/>
  <c r="C72" i="34"/>
  <c r="D72" i="34"/>
  <c r="H15" i="21"/>
  <c r="D15" i="21"/>
  <c r="F15" i="21"/>
  <c r="L15" i="21"/>
  <c r="D9" i="24"/>
  <c r="L9" i="24"/>
  <c r="D9" i="23"/>
  <c r="L9" i="23"/>
  <c r="F9" i="23"/>
  <c r="L9" i="22"/>
  <c r="F9" i="22"/>
  <c r="D9" i="22"/>
  <c r="J11" i="25"/>
  <c r="F32" i="33"/>
  <c r="G32" i="33" s="1"/>
  <c r="L32" i="33"/>
  <c r="M32" i="33" s="1"/>
  <c r="N11" i="25"/>
  <c r="F50" i="34"/>
  <c r="L50" i="34"/>
  <c r="R50" i="34" s="1"/>
  <c r="D32" i="33"/>
  <c r="E32" i="33" s="1"/>
  <c r="H11" i="25"/>
  <c r="D50" i="34"/>
  <c r="J50" i="34" s="1"/>
  <c r="C50" i="34"/>
  <c r="J10" i="14"/>
  <c r="J47" i="33"/>
  <c r="K47" i="33" s="1"/>
  <c r="H15" i="12"/>
  <c r="J48" i="33"/>
  <c r="K48" i="33" s="1"/>
  <c r="N12" i="11"/>
  <c r="H12" i="11"/>
  <c r="J12" i="11"/>
  <c r="H12" i="10"/>
  <c r="N12" i="10"/>
  <c r="N12" i="8"/>
  <c r="H12" i="8"/>
  <c r="J49" i="33"/>
  <c r="K49" i="33" s="1"/>
  <c r="H15" i="7"/>
  <c r="N15" i="7"/>
  <c r="L13" i="6"/>
  <c r="L11" i="5"/>
  <c r="J11" i="5"/>
  <c r="J50" i="33"/>
  <c r="K50" i="33" s="1"/>
  <c r="J51" i="33"/>
  <c r="K51" i="33" s="1"/>
  <c r="J43" i="33"/>
  <c r="K43" i="33" s="1"/>
  <c r="J45" i="33"/>
  <c r="K45" i="33" s="1"/>
  <c r="J46" i="33"/>
  <c r="K46" i="33" s="1"/>
  <c r="J44" i="33"/>
  <c r="K44" i="33" s="1"/>
  <c r="H13" i="4"/>
  <c r="N13" i="4"/>
  <c r="J58" i="33"/>
  <c r="K58" i="33" s="1"/>
  <c r="J54" i="33"/>
  <c r="K54" i="33" s="1"/>
  <c r="J55" i="33"/>
  <c r="K55" i="33" s="1"/>
  <c r="J63" i="33"/>
  <c r="K63" i="33" s="1"/>
  <c r="J64" i="33"/>
  <c r="K64" i="33" s="1"/>
  <c r="J59" i="33"/>
  <c r="K59" i="33" s="1"/>
  <c r="J61" i="33"/>
  <c r="K61" i="33" s="1"/>
  <c r="J60" i="33"/>
  <c r="K60" i="33" s="1"/>
  <c r="J57" i="33"/>
  <c r="K57" i="33" s="1"/>
  <c r="C26" i="34"/>
  <c r="N29" i="32"/>
  <c r="J72" i="34" l="1"/>
  <c r="J100" i="34"/>
  <c r="J106" i="34"/>
  <c r="J117" i="34"/>
  <c r="J80" i="34"/>
  <c r="I50" i="34"/>
  <c r="G50" i="34"/>
  <c r="I72" i="34"/>
  <c r="Q72" i="34"/>
  <c r="O72" i="34"/>
  <c r="I100" i="34"/>
  <c r="Q100" i="34"/>
  <c r="O100" i="34"/>
  <c r="I106" i="34"/>
  <c r="O106" i="34"/>
  <c r="Q106" i="34"/>
  <c r="I117" i="34"/>
  <c r="Q117" i="34"/>
  <c r="O117" i="34"/>
  <c r="I80" i="34"/>
  <c r="O80" i="34"/>
  <c r="Q80" i="34"/>
  <c r="O50" i="34"/>
  <c r="Q50" i="34"/>
  <c r="M33" i="38"/>
  <c r="R33" i="38"/>
  <c r="S33" i="38" s="1"/>
  <c r="I89" i="34"/>
  <c r="Q89" i="34"/>
  <c r="O89" i="34"/>
  <c r="I26" i="34"/>
  <c r="O26" i="34"/>
  <c r="Q26" i="34"/>
  <c r="E100" i="34"/>
  <c r="M100" i="34"/>
  <c r="R100" i="34"/>
  <c r="M106" i="34"/>
  <c r="R106" i="34"/>
  <c r="G100" i="34"/>
  <c r="G106" i="34"/>
  <c r="R32" i="33"/>
  <c r="S32" i="33" s="1"/>
  <c r="J33" i="38"/>
  <c r="K33" i="38" s="1"/>
  <c r="K26" i="34"/>
  <c r="S26" i="34"/>
  <c r="E72" i="34"/>
  <c r="M72" i="34"/>
  <c r="M12" i="38"/>
  <c r="M16" i="38"/>
  <c r="O12" i="38"/>
  <c r="N16" i="38"/>
  <c r="O16" i="38" s="1"/>
  <c r="M26" i="34"/>
  <c r="G72" i="34"/>
  <c r="M89" i="34"/>
  <c r="E89" i="34"/>
  <c r="G89" i="34"/>
  <c r="M50" i="34"/>
  <c r="G117" i="34"/>
  <c r="M117" i="34"/>
  <c r="E117" i="34"/>
  <c r="E106" i="34"/>
  <c r="M80" i="34"/>
  <c r="G80" i="34"/>
  <c r="E80" i="34"/>
  <c r="E50" i="34"/>
  <c r="J32" i="33"/>
  <c r="K32" i="33" s="1"/>
  <c r="E26" i="34"/>
  <c r="G26" i="34"/>
  <c r="K72" i="34" l="1"/>
  <c r="S72" i="34"/>
  <c r="K80" i="34"/>
  <c r="S80" i="34"/>
  <c r="K106" i="34"/>
  <c r="S106" i="34"/>
  <c r="K117" i="34"/>
  <c r="S117" i="34"/>
  <c r="K50" i="34"/>
  <c r="S50" i="34"/>
  <c r="K89" i="34"/>
  <c r="S89" i="34"/>
  <c r="K100" i="34"/>
  <c r="S100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O9" authorId="0" shapeId="0" xr:uid="{00000000-0006-0000-0100-000001000000}">
      <text>
        <r>
          <rPr>
            <sz val="9"/>
            <color indexed="81"/>
            <rFont val="Tahoma"/>
            <family val="2"/>
          </rPr>
          <t>deficit de 40 hrs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9" authorId="0" shapeId="0" xr:uid="{239A591C-4116-4EE7-B819-8E03854D776C}">
      <text>
        <r>
          <rPr>
            <sz val="9"/>
            <color indexed="81"/>
            <rFont val="Tahoma"/>
            <family val="2"/>
          </rPr>
          <t>Total de Consultas + Atendimentos de Urgência</t>
        </r>
      </text>
    </comment>
    <comment ref="C10" authorId="0" shapeId="0" xr:uid="{5FE2CA51-D64F-4664-A53F-B876517441AA}">
      <text>
        <r>
          <rPr>
            <sz val="9"/>
            <color indexed="81"/>
            <rFont val="Tahoma"/>
            <family val="2"/>
          </rPr>
          <t>Total de Consultas + Atendimentos de Urgência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Atendimentos
</t>
        </r>
      </text>
    </comment>
    <comment ref="U9" authorId="0" shapeId="0" xr:uid="{2EA429B4-3BFA-4C4D-9265-2EFCD7CAD30B}">
      <text>
        <r>
          <rPr>
            <b/>
            <sz val="9"/>
            <color indexed="81"/>
            <rFont val="Tahoma"/>
            <family val="2"/>
          </rPr>
          <t>Ferias</t>
        </r>
      </text>
    </comment>
    <comment ref="A1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1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9" authorId="0" shapeId="0" xr:uid="{CB9B4014-0116-4EEE-86B7-0F1A1DC3A640}">
      <text>
        <r>
          <rPr>
            <b/>
            <sz val="9"/>
            <color indexed="81"/>
            <rFont val="Tahoma"/>
            <family val="2"/>
          </rPr>
          <t>ubs + ama (cnes unificado)</t>
        </r>
      </text>
    </comment>
    <comment ref="C10" authorId="0" shapeId="0" xr:uid="{96D693E7-F697-49BD-9177-1627F48845CE}">
      <text>
        <r>
          <rPr>
            <b/>
            <sz val="9"/>
            <color indexed="81"/>
            <rFont val="Tahoma"/>
            <family val="2"/>
          </rPr>
          <t>ubs + ama (cnes unificado)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O13" authorId="0" shapeId="0" xr:uid="{00000000-0006-0000-0E00-000001000000}">
      <text>
        <r>
          <rPr>
            <sz val="9"/>
            <color indexed="81"/>
            <rFont val="Tahoma"/>
            <family val="2"/>
          </rPr>
          <t>Consulta + Terapia Individual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9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4 de 6
4 de 12
1 de 18
10 de 24
1 de 36</t>
        </r>
      </text>
    </comment>
    <comment ref="E19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7 de 6
5 de 12
1 de 18
10 de 24
1 de 36</t>
        </r>
      </text>
    </comment>
    <comment ref="G19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8 de 6
6 de 12
1 de 18
10 de 24
1 de 36</t>
        </r>
      </text>
    </comment>
    <comment ref="K19" authorId="0" shapeId="0" xr:uid="{00000000-0006-0000-1500-000004000000}">
      <text>
        <r>
          <rPr>
            <sz val="9"/>
            <color indexed="81"/>
            <rFont val="Tahoma"/>
            <family val="2"/>
          </rPr>
          <t>9 de 6hrs
7 de 12hrs
1 de 18hrs
10 de 24hrs
1 de 36hrs</t>
        </r>
      </text>
    </comment>
    <comment ref="M19" authorId="0" shapeId="0" xr:uid="{00000000-0006-0000-1500-000005000000}">
      <text>
        <r>
          <rPr>
            <sz val="9"/>
            <color indexed="81"/>
            <rFont val="Tahoma"/>
            <family val="2"/>
          </rPr>
          <t xml:space="preserve">14 de 6hrs
7 de 12hrs
1 de 18hrs
10 de 24hrs
1 de 36hrs
</t>
        </r>
      </text>
    </comment>
    <comment ref="C22" authorId="0" shapeId="0" xr:uid="{00000000-0006-0000-1500-000006000000}">
      <text>
        <r>
          <rPr>
            <b/>
            <sz val="9"/>
            <color indexed="81"/>
            <rFont val="Tahoma"/>
            <family val="2"/>
          </rPr>
          <t>1 de 6
5 de 12
2 de 18
8 de 24
1 de 36</t>
        </r>
      </text>
    </comment>
    <comment ref="E22" authorId="0" shapeId="0" xr:uid="{00000000-0006-0000-1500-000007000000}">
      <text>
        <r>
          <rPr>
            <b/>
            <sz val="9"/>
            <color indexed="81"/>
            <rFont val="Tahoma"/>
            <family val="2"/>
          </rPr>
          <t>1 de 6
5 de 12
2 de 18
9 de 24
1 de 36</t>
        </r>
      </text>
    </comment>
    <comment ref="G22" authorId="0" shapeId="0" xr:uid="{00000000-0006-0000-1500-000008000000}">
      <text>
        <r>
          <rPr>
            <b/>
            <sz val="9"/>
            <color indexed="81"/>
            <rFont val="Tahoma"/>
            <family val="2"/>
          </rPr>
          <t>1 de 6
4 de 12
2 de 18
9 de 24
1 de 36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7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G7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</commentList>
</comments>
</file>

<file path=xl/sharedStrings.xml><?xml version="1.0" encoding="utf-8"?>
<sst xmlns="http://schemas.openxmlformats.org/spreadsheetml/2006/main" count="1436" uniqueCount="384">
  <si>
    <t xml:space="preserve">                  OSS/SPDM – Associação Paulista para o Desenvolvimento da Medicina</t>
  </si>
  <si>
    <t>%</t>
  </si>
  <si>
    <t>AGO</t>
  </si>
  <si>
    <t>SET</t>
  </si>
  <si>
    <t>OUT</t>
  </si>
  <si>
    <t>NOV</t>
  </si>
  <si>
    <t>DEZ</t>
  </si>
  <si>
    <t>SOMA</t>
  </si>
  <si>
    <t>1º Trimestre</t>
  </si>
  <si>
    <t>Cirurgião Dentista (atendimento individual) UBS</t>
  </si>
  <si>
    <t>Cirurgião Dentista (procedimento) UBS</t>
  </si>
  <si>
    <t>Clinico (consulta) UBS</t>
  </si>
  <si>
    <t>Pediadra (consulta) UBS</t>
  </si>
  <si>
    <t>Psiquiatra (consulta) UBS</t>
  </si>
  <si>
    <t>Tocoginecologista (consulta) UBS</t>
  </si>
  <si>
    <t>Categoria Profissional</t>
  </si>
  <si>
    <t>Meta / Mês</t>
  </si>
  <si>
    <t>ACS  - ESF (40h)</t>
  </si>
  <si>
    <t>Médico Generelista ESF (40h)</t>
  </si>
  <si>
    <t xml:space="preserve">Enfermeiro - ESF (40h) </t>
  </si>
  <si>
    <t>Cirurgião Dentista (40h) UBS</t>
  </si>
  <si>
    <t>Clinico (20h) UBS</t>
  </si>
  <si>
    <t>Psiquiatra (20h) UBS</t>
  </si>
  <si>
    <t>Tocoginecologista (20h) UBS</t>
  </si>
  <si>
    <t>Assistente Social (30h) UBS</t>
  </si>
  <si>
    <t>Enfermeiro (30h) UBS</t>
  </si>
  <si>
    <t>Farmacêutico (40h) UBS</t>
  </si>
  <si>
    <t>ACS (Visita Domiciliar) - ESF</t>
  </si>
  <si>
    <t>Médico Generelista (consulta) - ESF</t>
  </si>
  <si>
    <t xml:space="preserve">Enfermeiro (consulta) - ESF </t>
  </si>
  <si>
    <t>Cirurgião Dentista (atendimento individual) ESB</t>
  </si>
  <si>
    <t>Cirurgião Dentista (procedimento) ESB</t>
  </si>
  <si>
    <t>Cirurgião Dentista (40h) ESB</t>
  </si>
  <si>
    <t>Cirurgião Dentista (20h) UBS</t>
  </si>
  <si>
    <t>Psicologo (30h) UBS</t>
  </si>
  <si>
    <t>Assistente Social (30h) NASF</t>
  </si>
  <si>
    <t>Fisioterapeuta (20h) NASF</t>
  </si>
  <si>
    <t>Psiquiatra (20h) NASF</t>
  </si>
  <si>
    <t>Terapeuta Ocupacional (20h) NASF</t>
  </si>
  <si>
    <t>Nutricionista (40h) NASF</t>
  </si>
  <si>
    <t>Fonoaudiólogo (40h) NASF</t>
  </si>
  <si>
    <t>Homeopata (consulta) UBS</t>
  </si>
  <si>
    <t>Homeopata (20h) UBS</t>
  </si>
  <si>
    <t>Pediatra (consulta) UBS</t>
  </si>
  <si>
    <t>Pediatra (20h) UBS</t>
  </si>
  <si>
    <t>Psicologo (40h) NASF</t>
  </si>
  <si>
    <t>Enfermeiro (40h) UBS</t>
  </si>
  <si>
    <t>Fisioterapeuta (30h) UBS</t>
  </si>
  <si>
    <t>Fonoaudiologo (40h) UBS</t>
  </si>
  <si>
    <t>Pneumologista (consulta) UBS</t>
  </si>
  <si>
    <t>Cardiologista (consulta) UBS</t>
  </si>
  <si>
    <t>Pneumologista (20h) UBS</t>
  </si>
  <si>
    <t>Cardiologista (20h) UBS</t>
  </si>
  <si>
    <t>Terapêuta Ocupacional (30h) UBS</t>
  </si>
  <si>
    <t>Periodontia</t>
  </si>
  <si>
    <t>Semiologia (disponível/procura)</t>
  </si>
  <si>
    <t>Cirurgia Oral Menor</t>
  </si>
  <si>
    <t>Endodontia</t>
  </si>
  <si>
    <t>Paciente Especial*</t>
  </si>
  <si>
    <t>CD Protesista</t>
  </si>
  <si>
    <t>Ortopedia funcional dos maxilares/Ortodontia</t>
  </si>
  <si>
    <t>Próteses e Aparelhos Ortodônticos (entregue no mês)</t>
  </si>
  <si>
    <t>Paciente Especial* (20h)</t>
  </si>
  <si>
    <t>Pediatra (12h) - Diurno</t>
  </si>
  <si>
    <t>Pediatra (12h) - Noturno</t>
  </si>
  <si>
    <t>Médico Clínico (12h) - Segunda a Sábado</t>
  </si>
  <si>
    <t>Pediatra (12h) - Segunda a Sábado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</si>
  <si>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</si>
  <si>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</si>
  <si>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</si>
  <si>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</si>
  <si>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</si>
  <si>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</si>
  <si>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</si>
  <si>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</si>
  <si>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</si>
  <si>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</si>
  <si>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</si>
  <si>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</si>
  <si>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</si>
  <si>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</si>
  <si>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Contrato de Gestão: REDE ASSISTENCIAL DA STS VILA MARIA/VILA GUILHERME - ANO 2015</t>
  </si>
  <si>
    <t>Pediatra - Diarista (horizontal)</t>
  </si>
  <si>
    <t>Clínica Médica (12h) - Diurno - Seg a Sex</t>
  </si>
  <si>
    <t>Clínica Médica (12h) - Diurno - Final de Semana</t>
  </si>
  <si>
    <t>Clínica Médica (12h) - Noturno</t>
  </si>
  <si>
    <t>Clínico Cirurgico - 24h de Seg a Dom - Diurno e Noturno</t>
  </si>
  <si>
    <t>Clínica Médica - Diarista (horizontal)</t>
  </si>
  <si>
    <t>Assistente Social (consulta) URSI</t>
  </si>
  <si>
    <t>Enfermeiro (consulta) URSI</t>
  </si>
  <si>
    <t>Nutricionista (consulta) URSI</t>
  </si>
  <si>
    <t>Fisioterapeuta (consulta) URSI</t>
  </si>
  <si>
    <t>Terapeuta Ocupacional (consulta) URSI</t>
  </si>
  <si>
    <t>Psicólogo (consulta) URSI</t>
  </si>
  <si>
    <t>Geriatra (consulta) URSI</t>
  </si>
  <si>
    <t>Geriatra (20h) URSI</t>
  </si>
  <si>
    <t>Assistente Social (30h) URSI</t>
  </si>
  <si>
    <t>Enfermeiro (30h) URSI</t>
  </si>
  <si>
    <t>Nutricionista (30h) URSI</t>
  </si>
  <si>
    <t>Fisioterapeuta (30h) URSI</t>
  </si>
  <si>
    <t>Terapeuta Ocupacional (30h) URSI</t>
  </si>
  <si>
    <t>Psicólogo (30h) URSI</t>
  </si>
  <si>
    <t>Disponível / Procura</t>
  </si>
  <si>
    <t>Cirúrgião Dentista - Periodontia (20h)</t>
  </si>
  <si>
    <t>Cirúrgião Dentista - Cirurgia Oral Menor (20h)</t>
  </si>
  <si>
    <t>Cirúrgião Dentista - Endodontia (20h)</t>
  </si>
  <si>
    <t>Cirúrgião Dentista - CD Protesista (20h)</t>
  </si>
  <si>
    <t>Cirúrgião Dentista - Ortopedia funcional dos maxilares/Ortodontia (20h)</t>
  </si>
  <si>
    <t>Ítem</t>
  </si>
  <si>
    <t>Ìtem</t>
  </si>
  <si>
    <t>Angiologista (consulta)</t>
  </si>
  <si>
    <t>Cardiologista (consulta)</t>
  </si>
  <si>
    <t>Endocrinologista (consulta)</t>
  </si>
  <si>
    <t>Neurologista (consulta)</t>
  </si>
  <si>
    <t>Ortopedista (consulta)</t>
  </si>
  <si>
    <t>Reumatologuista (consulta)</t>
  </si>
  <si>
    <t>Urologista (consulta)</t>
  </si>
  <si>
    <t>Dermatologista (consulta)</t>
  </si>
  <si>
    <t>Gastroenterologista (consulta)</t>
  </si>
  <si>
    <t>Pneumologista (consulta)</t>
  </si>
  <si>
    <t>Angiologista (12h)</t>
  </si>
  <si>
    <t>Cardiologista (12h)</t>
  </si>
  <si>
    <t>Endocrinologista (12h)</t>
  </si>
  <si>
    <t>Neurologista (12h)</t>
  </si>
  <si>
    <t>Ortopedista (12h)</t>
  </si>
  <si>
    <t>Reumatologuista (12h)</t>
  </si>
  <si>
    <t>Urologista (12h)</t>
  </si>
  <si>
    <t>Dermatologista (12h)</t>
  </si>
  <si>
    <t>Gastroenterologista (12h)</t>
  </si>
  <si>
    <t>Pneumologista (12h)</t>
  </si>
  <si>
    <t>Enfermerio (40h)</t>
  </si>
  <si>
    <t>Enfermerio (36h)</t>
  </si>
  <si>
    <t>Psiquiatra (20h) CAPS</t>
  </si>
  <si>
    <t>Psicologo (36h) CAPS</t>
  </si>
  <si>
    <t>Assistente Social (30h) CAPS</t>
  </si>
  <si>
    <t>Psicopedagogo (36) CAPS</t>
  </si>
  <si>
    <t>Enfermeiro (40h) CAPS</t>
  </si>
  <si>
    <t>Enfermeiro (30h) CAPS</t>
  </si>
  <si>
    <t>Terapeuta Ocupacional (20h) CAPS</t>
  </si>
  <si>
    <t>Farmacêutico (40h) CAPS</t>
  </si>
  <si>
    <t>Fonoaudiólogo (30h) CAPS</t>
  </si>
  <si>
    <t>Nutricionista (40h) CAPS</t>
  </si>
  <si>
    <t>Acompanhante da Pessoa com Deficiência (40h) APD</t>
  </si>
  <si>
    <t>Enfermeiro (40h) APD</t>
  </si>
  <si>
    <t>Fonoaudiólogo (40h) APD</t>
  </si>
  <si>
    <t>Psicologo (40h) APD</t>
  </si>
  <si>
    <t>Terapeuta Ocupacional (30h) APD</t>
  </si>
  <si>
    <t>Nº pacientes em acompanhamento APD</t>
  </si>
  <si>
    <t>Pacientes com cadastro ativo CPS</t>
  </si>
  <si>
    <t>Casos novos/mês (avaliação multidisciplinar em reabilitação) CER</t>
  </si>
  <si>
    <t>Nº pacientes em terapia/mês CER</t>
  </si>
  <si>
    <t>Neurologista (AD/INF) (20h) CER</t>
  </si>
  <si>
    <t>Assistente Social (30h) CER</t>
  </si>
  <si>
    <t>Enfermeiro (30h) CER</t>
  </si>
  <si>
    <t>Fisioterapeuta (30h) CER</t>
  </si>
  <si>
    <t>Fonoaudiólogo (40h) CER</t>
  </si>
  <si>
    <t>Nutricionista (30h) CER</t>
  </si>
  <si>
    <t>Psicologo (30h) CER</t>
  </si>
  <si>
    <t>Terapeuta Ocupacional (30h) CER</t>
  </si>
  <si>
    <t>Otorrinolaringologista (20h) CER</t>
  </si>
  <si>
    <t>Ortopedista (20h) CER</t>
  </si>
  <si>
    <t>Enfermeiro (40h) EMAD</t>
  </si>
  <si>
    <t>Fisioterapeuta (30h) EMAD</t>
  </si>
  <si>
    <t>Auxiliar de Enfermagem (30h) EMAD</t>
  </si>
  <si>
    <t>Enfermeiro (pacientes ativos em atendimento)</t>
  </si>
  <si>
    <t>Fisioterapeuta (pacientes ativos em atendimento)</t>
  </si>
  <si>
    <t>Auxiliar de Enfermagem (pacientes ativos em atendimento)</t>
  </si>
  <si>
    <t>Clínico Geral (20h) EMAD</t>
  </si>
  <si>
    <t>Clínico Geral (pacientes ativos em atendimento)</t>
  </si>
  <si>
    <t>MAPA</t>
  </si>
  <si>
    <t>HOLTER</t>
  </si>
  <si>
    <t>TESTE ERGOMÉTRICO</t>
  </si>
  <si>
    <t>ELETROENCEFALOGRAMA</t>
  </si>
  <si>
    <t>ULTRASSONOGRAFIA GERAL</t>
  </si>
  <si>
    <t>ULTRASSONOGRAFIA DOPLER VASCULAR</t>
  </si>
  <si>
    <t>ECOCARDIOGRAMA</t>
  </si>
  <si>
    <t>med cirurgia (24 hrs)</t>
  </si>
  <si>
    <t>med clinico (12 hrs)</t>
  </si>
  <si>
    <t>med clinico (24 hrs)</t>
  </si>
  <si>
    <t>med clinico (30 hrs)</t>
  </si>
  <si>
    <t>med pediatra (12 hrs)</t>
  </si>
  <si>
    <t>med pediatra (24 hrs)</t>
  </si>
  <si>
    <t>QUADRO ATUAL</t>
  </si>
  <si>
    <t>EM</t>
  </si>
  <si>
    <t>meta mes</t>
  </si>
  <si>
    <t>INDICADORES DE PRODUÇÃO</t>
  </si>
  <si>
    <t xml:space="preserve"> (med12h)</t>
  </si>
  <si>
    <t>PRODUÇÃO AMA-E</t>
  </si>
  <si>
    <t>Nº CONSULTA ANGIOLOGIA</t>
  </si>
  <si>
    <t>Nº CONSULTA CARDIOLOGIA</t>
  </si>
  <si>
    <t>Nº CONSULTA DERMATOLOGIA</t>
  </si>
  <si>
    <t>Nº CONSULTA ENDOCRINOLOGIA</t>
  </si>
  <si>
    <t>Nº CONSULTA GASTROENTEROLOGIA</t>
  </si>
  <si>
    <t>Nº CONSULTA NEUROLOGIA</t>
  </si>
  <si>
    <t>Nº CONSULTA ORTOPEDIA</t>
  </si>
  <si>
    <t>Nº CONSULTA PNEUMOLOGIA</t>
  </si>
  <si>
    <t>Nº CONSULTA REUMATOLOGIA</t>
  </si>
  <si>
    <t>Nº CONSULTA UROLOGIA</t>
  </si>
  <si>
    <t>sem RH</t>
  </si>
  <si>
    <t>PRODUÇÃO APOIO DIAGNÓSTICO</t>
  </si>
  <si>
    <t>Nº ECOCARDIOGRAMA COM E SEM DOPPLER</t>
  </si>
  <si>
    <t>Nº TESTE ERGOMÉTRICO</t>
  </si>
  <si>
    <t>Nº HOLTER</t>
  </si>
  <si>
    <t>Nº M.A.P.A</t>
  </si>
  <si>
    <t>Nº ELETROENCEFALOGRAFIA</t>
  </si>
  <si>
    <t>Nº ULTRASSONOGRAFIA GERAL</t>
  </si>
  <si>
    <t>Nº ULTRASSONOGRAFIA COM DOPPLER(DOPPLER VASCULAR)</t>
  </si>
  <si>
    <t>PRODUÇÃO CAPS V2</t>
  </si>
  <si>
    <t>23*</t>
  </si>
  <si>
    <t>Nº PACIENTE COM CADASTRO ATIVO CAPS (RASS)</t>
  </si>
  <si>
    <t>PRODUÇÃO CER</t>
  </si>
  <si>
    <t>Nº PACIENTE NOVO - CER</t>
  </si>
  <si>
    <t>Nº PACIENTE ACOMPANHADO PELO PROGRAM. ACOMP.PESSOA DEF.</t>
  </si>
  <si>
    <t>PRODUÇÃO EMAD</t>
  </si>
  <si>
    <t>Nº PACIENTES ATIVOS EM ATENDIMENTO DOMICILIAR</t>
  </si>
  <si>
    <t>(20h)</t>
  </si>
  <si>
    <t>PRODUÇÃO ESPECIALIDADES ODONTOLÓGICA</t>
  </si>
  <si>
    <t>Nº PROCEDIMENTO PERIO</t>
  </si>
  <si>
    <t>Nº PROCEDIMENTO CIRURGIA ORAL</t>
  </si>
  <si>
    <t>Nº PROCEDIMENTO ENDO</t>
  </si>
  <si>
    <t>Nº PROCEDIMENTO PACIENTE ESPECIAL</t>
  </si>
  <si>
    <t>Nº ATENDIMENTO SEMIO</t>
  </si>
  <si>
    <t>SEM META</t>
  </si>
  <si>
    <t>Nº ATENDIMENTO PROTESISTA</t>
  </si>
  <si>
    <t>Nº ATENDIMENTO ORTOPEDIA/ORTODONTIA</t>
  </si>
  <si>
    <t>na</t>
  </si>
  <si>
    <t>Nº PRÓTESE/APARELHO ENTREGUE</t>
  </si>
  <si>
    <t>20h</t>
  </si>
  <si>
    <t>PRODUÇÃO UBS</t>
  </si>
  <si>
    <t>Nº CONSULTA CLÍNICA GERAL</t>
  </si>
  <si>
    <t>Nº CONSULTA GO</t>
  </si>
  <si>
    <t>Nº CONSULTA PEDIATRA</t>
  </si>
  <si>
    <t>Nº CONSULTA PSIQUIATRA</t>
  </si>
  <si>
    <t>Nº CONSULTA CARDIO</t>
  </si>
  <si>
    <t>Nº CONSULTA PNEUMO</t>
  </si>
  <si>
    <t>Nº ATENDIMENTO INDIVIDUAL CIR.DENTISTA</t>
  </si>
  <si>
    <t>Nº PROCEDIMENTO INDIVIDUAL CIR.DENTISTA</t>
  </si>
  <si>
    <t>PRODUÇÃO UBS MISTA</t>
  </si>
  <si>
    <t>Nº EQUIPE ESF</t>
  </si>
  <si>
    <t>Nº CONSULTA MÉDICA ESF</t>
  </si>
  <si>
    <t>Nº CONSULTA ENFERMEIRO ESF</t>
  </si>
  <si>
    <t>N° VISITA DOMICILIAR AGENTE COMUNITÁRIO DE SAÚDE ESF</t>
  </si>
  <si>
    <t>5 (40h)</t>
  </si>
  <si>
    <t>Nº ATENDIMENTO INDIVIDUAL ODONTO ESF</t>
  </si>
  <si>
    <t>Nº PROCEDIMENTO INDIVIDUAL DA EQUIPE ODONTO ESF</t>
  </si>
  <si>
    <t>5 (20h)</t>
  </si>
  <si>
    <t>Nº ATENDIMENTO INDIVIDUAL ODONTO C.BÁSICA</t>
  </si>
  <si>
    <t>Nº PROCEDIMENTO INDIVIDUAL DA EQUIPE ODONTO C.BÁSICA</t>
  </si>
  <si>
    <t>PRODUÇÃO URGÊNCIA/EMERGÊNCIA COMPLEMENTAR</t>
  </si>
  <si>
    <t>82 med 12h</t>
  </si>
  <si>
    <t>Nº ATENDIMENTO URGÊNCIA C/OBS ATÉ 24 HRS</t>
  </si>
  <si>
    <t>sem meta</t>
  </si>
  <si>
    <t>2 med 20h</t>
  </si>
  <si>
    <t>Nº ATENDIMENTO URGÊNCIA AT.ESPECIALIZADA</t>
  </si>
  <si>
    <t>30h</t>
  </si>
  <si>
    <t>PRODUÇÃO URSI</t>
  </si>
  <si>
    <t>4 med20h</t>
  </si>
  <si>
    <t>Nº CONSULTA MÉDICA GERIATRA</t>
  </si>
  <si>
    <t>Nº CONSULTA NUTRICIONISTA</t>
  </si>
  <si>
    <t>Nº CONSULTA PSICOLOGIA</t>
  </si>
  <si>
    <t>Nº CONSULTA ENFERMEIRO URSI</t>
  </si>
  <si>
    <t>Nº CONSULTA ASSISTENTE SOCIAL URSI</t>
  </si>
  <si>
    <t>Nº CONSULTA FISIOTERAPEUTA</t>
  </si>
  <si>
    <t>Nº CONSULTA TERAPEUTA OCUPACIONAL</t>
  </si>
  <si>
    <t>17 med12h</t>
  </si>
  <si>
    <t>AMA</t>
  </si>
  <si>
    <t>% Desvio</t>
  </si>
  <si>
    <t>Nº CONSULTA HOMEOPATA</t>
  </si>
  <si>
    <t>PACIENTE EM ACOMPANHAMENTO</t>
  </si>
  <si>
    <t>PS</t>
  </si>
  <si>
    <t>AMA E</t>
  </si>
  <si>
    <t>NASF</t>
  </si>
  <si>
    <t>ESF</t>
  </si>
  <si>
    <t>UBS Tradicional</t>
  </si>
  <si>
    <t>EMAD</t>
  </si>
  <si>
    <t>URSI</t>
  </si>
  <si>
    <t>CEO</t>
  </si>
  <si>
    <t>CAPS</t>
  </si>
  <si>
    <t>APD</t>
  </si>
  <si>
    <t>CER</t>
  </si>
  <si>
    <t>Nutricionista (40h) UBS</t>
  </si>
  <si>
    <t>Meta mês</t>
  </si>
  <si>
    <t>Saldo</t>
  </si>
  <si>
    <t>Total CER</t>
  </si>
  <si>
    <t>Total APD</t>
  </si>
  <si>
    <t>Total CAPS</t>
  </si>
  <si>
    <t>Total CEO</t>
  </si>
  <si>
    <t>Total URSI</t>
  </si>
  <si>
    <t xml:space="preserve">Total AMA E </t>
  </si>
  <si>
    <t xml:space="preserve">Total PS </t>
  </si>
  <si>
    <t>Total EMAD</t>
  </si>
  <si>
    <t>Total UBS</t>
  </si>
  <si>
    <t>Total NASF</t>
  </si>
  <si>
    <t>Total ESB</t>
  </si>
  <si>
    <t>Total AMA</t>
  </si>
  <si>
    <t/>
  </si>
  <si>
    <t>Valor contrato total ano</t>
  </si>
  <si>
    <t>Valor contrato mês</t>
  </si>
  <si>
    <t>Valor contrato 5%</t>
  </si>
  <si>
    <t>Valor contrato 95%/mês</t>
  </si>
  <si>
    <t>VALOR MENSAL DESCONTOS QUALIDADE (R$)</t>
  </si>
  <si>
    <t>META</t>
  </si>
  <si>
    <t>Justificativa e providências</t>
  </si>
  <si>
    <t>Modalidades de Atenção</t>
  </si>
  <si>
    <t>Linhas de Serviços</t>
  </si>
  <si>
    <t>% sobre custeio mensal</t>
  </si>
  <si>
    <t>Valor  custeio mensal</t>
  </si>
  <si>
    <t>Valor  custeio mensal 95%</t>
  </si>
  <si>
    <t>Produção</t>
  </si>
  <si>
    <t>Meta</t>
  </si>
  <si>
    <t>Valor desconto mês(&lt; 85%)</t>
  </si>
  <si>
    <t>10% sobre 95%</t>
  </si>
  <si>
    <t>ATENÇÃO BÁSICA</t>
  </si>
  <si>
    <t>ESF+ESB+NASF+UBS MISTA</t>
  </si>
  <si>
    <t>UBS TRADICIONAL</t>
  </si>
  <si>
    <t>URGÊNCIA E EMERGÊNCIA</t>
  </si>
  <si>
    <t>PSM</t>
  </si>
  <si>
    <t>ATENÇÃO  ESPECIALIZADA/REDES TEMATICAS</t>
  </si>
  <si>
    <t>AMA-E/ AMB ESPEC</t>
  </si>
  <si>
    <t>REDE DE ATENÇÃO PSICOSSOCIAL</t>
  </si>
  <si>
    <t>REDE DE CUIDADOS DA PESSOA COM DEFICIÊNCIA</t>
  </si>
  <si>
    <t>SERVIÇOS DE APOIO DIAGNÓSTICO</t>
  </si>
  <si>
    <t>≠</t>
  </si>
  <si>
    <t>Valor contrato 95%</t>
  </si>
  <si>
    <t>TOTAL CONSULTA AMA-E</t>
  </si>
  <si>
    <t>2º Trimestre</t>
  </si>
  <si>
    <t>Contrato de Gestão: REDE ASSISTENCIAL DA STS VILA MARIA/VILA GUILHERME - ANO 2016</t>
  </si>
  <si>
    <t>JAN</t>
  </si>
  <si>
    <t>FEV</t>
  </si>
  <si>
    <t>PRODUÇÃO - ATENÇÃO BÁSICA - UBS PARQUE NOVO MUNDO I - MISTA  - 5 ESF – 2015/2016</t>
  </si>
  <si>
    <t>MATRIZ DE INDICADORES DE QUALIDADE - 2015/2016</t>
  </si>
  <si>
    <t>OSS/SPDM – Associação Paulista para o Desenvolvimento da Medicina</t>
  </si>
  <si>
    <t>REDE ASSISTENCIAL DA STS  VILA MARIA / VILA GUILHERME  - ANO 2015/2016</t>
  </si>
  <si>
    <t>EQUIPE MINÍMA - AMA 12 HORAS - JARDIM BRASIL – 2015/2016</t>
  </si>
  <si>
    <t>EQUIPE MINÍMA - AMA 12 HORAS - VL. GUILHERME – 2015/2016</t>
  </si>
  <si>
    <t>EQUIPE MINÍMA - AMA 12 HORAS - VILA MEDEIROS – 2015/2016</t>
  </si>
  <si>
    <t>EQUIPE MINÍMA - URGÊNCIA EMERGÊNCIA - PSM VILA MARIA BAIXA – 2015/2016</t>
  </si>
  <si>
    <t>Enfermeiro (36h) UBS</t>
  </si>
  <si>
    <t xml:space="preserve">Clínica Médica (12h) </t>
  </si>
  <si>
    <t>Clínica Médica - Diarista (30 hs)</t>
  </si>
  <si>
    <t>Clínico Cirurgica - 12h</t>
  </si>
  <si>
    <t xml:space="preserve">Pediatra (12h) </t>
  </si>
  <si>
    <t>Pediatra - Diarista (30 hs)</t>
  </si>
  <si>
    <t xml:space="preserve">Médico Clínico (12h) </t>
  </si>
  <si>
    <t>Médico Clínico (12h)</t>
  </si>
  <si>
    <t>Pediatra (12h)</t>
  </si>
  <si>
    <t>Cirúrgião Dentista - Semiologia (20h)</t>
  </si>
  <si>
    <t>PRODUÇÃO APD</t>
  </si>
  <si>
    <t>SIM</t>
  </si>
  <si>
    <t>MAR</t>
  </si>
  <si>
    <t>ABR</t>
  </si>
  <si>
    <t>MAI</t>
  </si>
  <si>
    <t>3º Trimestre</t>
  </si>
  <si>
    <t>JUN</t>
  </si>
  <si>
    <t>JUL</t>
  </si>
  <si>
    <t>4º Trimestre</t>
  </si>
  <si>
    <t>Saldo 3º Trimestre</t>
  </si>
  <si>
    <t>Saldo 4º Trimestre</t>
  </si>
  <si>
    <r>
      <t xml:space="preserve">                  </t>
    </r>
    <r>
      <rPr>
        <b/>
        <sz val="12"/>
        <color indexed="8"/>
        <rFont val="Trebuchet MS"/>
        <family val="2"/>
      </rPr>
      <t>REDE ASSISTENCIAL DA STS  VILA MARIA / VILA GUILHERME  - ANO 2016</t>
    </r>
  </si>
  <si>
    <t>Contrato de Gestão: REDE ASSISTENCIAL DA STS VILA MARIA/VILA GUILHERME - ANO 2015/2016</t>
  </si>
  <si>
    <t>Aparelhos (entregue no mês)</t>
  </si>
  <si>
    <t>Pneumologista (12hrs)</t>
  </si>
  <si>
    <t>Pneumologista (20hrs)</t>
  </si>
  <si>
    <t>REDE ASSISTENCIAL DA STS  VILA MARIA / VILA GUILHERME  - ANO 2016</t>
  </si>
  <si>
    <t>PRODUÇÃO - AMA DE ESPECIALIDADE ISOLINA MAZZEI – 2016</t>
  </si>
  <si>
    <t>SERVIÇO DE APOIO DIAGNÓSTICO E TERAPÊUTICO -  AMA DE ESPECIALIDADE ISOLINA MAZZEI – 2016</t>
  </si>
  <si>
    <t>PRODUÇÃO - CAPS INFANTIL II VILA MARIA/VILA GUILERME – 2016</t>
  </si>
  <si>
    <t>PRODUÇÃO - UBS JARDIM JULIETA - TRADICIONAL – 2016</t>
  </si>
  <si>
    <t>PRODUÇÃO - UBS VILA MARIA - DR. PAULO GNECCO - TRADICIONAL – 2016</t>
  </si>
  <si>
    <t>PRODUÇÃO - APD sediado no CER - III Carandiru – 2016</t>
  </si>
  <si>
    <t>PRODUÇÃO - CER - III Carandiru – 2016</t>
  </si>
  <si>
    <t>PRODUÇÃO - URSI CARANDIRU – 2016</t>
  </si>
  <si>
    <t>PRODUÇÃO - UBS CARANDIRU - TRADICIONAL – 2016</t>
  </si>
  <si>
    <t>PRODUÇÃO - UBS VILA SABRINA - TRADICIONAL – 2016</t>
  </si>
  <si>
    <t>PRODUÇÃO - UBS VILA LEONOR- TRADICIONAL – 2016</t>
  </si>
  <si>
    <t>PRODUÇÃO - UBS VILA EDE - TRADICIONAL – 2016</t>
  </si>
  <si>
    <t>PRODUÇÃO - EMAD - sediada na UBS JARDIM JAPÃO – 2016</t>
  </si>
  <si>
    <t>PRODUÇÃO - UBS JARDIM JAPÃO - TRADICIONAL – 2016</t>
  </si>
  <si>
    <t>PRODUÇÃO - UBS IZOLINA MAZZEI - TRADICIONAL – 2016</t>
  </si>
  <si>
    <t>PRODUÇÃO - UBS VILA MEDEIROS - TRADICIONAL – 2016</t>
  </si>
  <si>
    <t>PRODUÇÃO - AMBULATORIAL ESPECIALIZADA - CEO II VILA GUILHERME – 2016</t>
  </si>
  <si>
    <t>PRODUÇÃO - UBS VILA GUILHERME - TRADICIONAL – 2016</t>
  </si>
  <si>
    <t>PRODUÇÃO - UBS JARDIM BRASIL - TRADICIONAL – 2016</t>
  </si>
  <si>
    <t>PRODUÇÃO - ATENÇÃO BÁSICA - UBS PARQUE NOVO MUNDO II - MISTA  - 5 ESF + 2 ESB MODALIDADE 1 –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</si>
</sst>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  <numFmt numFmtId="167" formatCode="#,##0_ ;[Red]\-#,##0\ 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8"/>
      <name val="Trebuchet MS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b/>
      <u/>
      <sz val="12"/>
      <color rgb="FFFF0000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9"/>
      </patternFill>
    </fill>
  </fills>
  <borders count="26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5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double">
        <color auto="1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thin">
        <color indexed="58"/>
      </bottom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 style="medium">
        <color indexed="64"/>
      </left>
      <right/>
      <top style="thin">
        <color indexed="5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58"/>
      </top>
      <bottom/>
      <diagonal/>
    </border>
  </borders>
  <cellStyleXfs count="2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28" fillId="0" borderId="0" applyFont="0" applyFill="0" applyBorder="0" applyAlignment="0" applyProtection="0"/>
  </cellStyleXfs>
  <cellXfs count="709">
    <xf numFmtId="0" fontId="0" fillId="0" borderId="0" xfId="0"/>
    <xf numFmtId="3" fontId="3" fillId="2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>
      <alignment horizontal="center" vertical="center" wrapText="1"/>
    </xf>
    <xf numFmtId="3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2" xfId="1" applyNumberFormat="1" applyFont="1" applyFill="1" applyBorder="1" applyAlignment="1">
      <alignment horizontal="center" vertical="center" wrapText="1"/>
    </xf>
    <xf numFmtId="164" fontId="6" fillId="7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/>
    <xf numFmtId="3" fontId="3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1" fillId="0" borderId="0" xfId="1" applyFill="1"/>
    <xf numFmtId="9" fontId="1" fillId="0" borderId="0" xfId="2" applyFont="1" applyFill="1"/>
    <xf numFmtId="0" fontId="0" fillId="0" borderId="0" xfId="0" applyFill="1"/>
    <xf numFmtId="0" fontId="9" fillId="0" borderId="0" xfId="1" applyFont="1" applyFill="1" applyBorder="1" applyAlignment="1">
      <alignment vertical="center" wrapText="1"/>
    </xf>
    <xf numFmtId="0" fontId="10" fillId="0" borderId="0" xfId="4"/>
    <xf numFmtId="0" fontId="13" fillId="0" borderId="0" xfId="4" applyFont="1" applyFill="1" applyBorder="1" applyAlignment="1">
      <alignment horizontal="left" vertical="center" wrapText="1"/>
    </xf>
    <xf numFmtId="0" fontId="13" fillId="0" borderId="0" xfId="4" applyFont="1"/>
    <xf numFmtId="3" fontId="3" fillId="2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 applyProtection="1">
      <alignment horizontal="center" vertical="center" wrapText="1"/>
      <protection locked="0"/>
    </xf>
    <xf numFmtId="164" fontId="6" fillId="3" borderId="7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/>
    </xf>
    <xf numFmtId="164" fontId="8" fillId="3" borderId="9" xfId="1" applyNumberFormat="1" applyFont="1" applyFill="1" applyBorder="1" applyAlignment="1">
      <alignment horizontal="center" vertical="center" wrapText="1"/>
    </xf>
    <xf numFmtId="164" fontId="8" fillId="9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0" fillId="0" borderId="0" xfId="0" applyAlignment="1">
      <alignment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/>
    <xf numFmtId="164" fontId="8" fillId="3" borderId="6" xfId="1" applyNumberFormat="1" applyFont="1" applyFill="1" applyBorder="1" applyAlignment="1">
      <alignment horizontal="center" vertical="center" wrapText="1"/>
    </xf>
    <xf numFmtId="164" fontId="8" fillId="9" borderId="6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0" fillId="14" borderId="0" xfId="0" applyFont="1" applyFill="1"/>
    <xf numFmtId="3" fontId="3" fillId="2" borderId="6" xfId="1" applyNumberFormat="1" applyFont="1" applyFill="1" applyBorder="1" applyAlignment="1">
      <alignment horizontal="center" vertical="center" wrapText="1"/>
    </xf>
    <xf numFmtId="164" fontId="6" fillId="3" borderId="14" xfId="1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164" fontId="8" fillId="3" borderId="15" xfId="1" applyNumberFormat="1" applyFont="1" applyFill="1" applyBorder="1" applyAlignment="1">
      <alignment horizontal="center" vertical="center" wrapText="1"/>
    </xf>
    <xf numFmtId="164" fontId="8" fillId="7" borderId="15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16" borderId="15" xfId="0" applyFont="1" applyFill="1" applyBorder="1" applyAlignment="1">
      <alignment vertical="center" wrapText="1"/>
    </xf>
    <xf numFmtId="0" fontId="0" fillId="16" borderId="15" xfId="0" applyFont="1" applyFill="1" applyBorder="1" applyAlignment="1">
      <alignment horizontal="left" vertical="center" wrapText="1"/>
    </xf>
    <xf numFmtId="0" fontId="3" fillId="0" borderId="27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17" fontId="22" fillId="0" borderId="33" xfId="0" applyNumberFormat="1" applyFont="1" applyBorder="1" applyAlignment="1">
      <alignment horizontal="center" vertical="center" wrapText="1"/>
    </xf>
    <xf numFmtId="17" fontId="22" fillId="0" borderId="34" xfId="0" applyNumberFormat="1" applyFont="1" applyBorder="1" applyAlignment="1">
      <alignment horizontal="center" vertical="center" wrapText="1"/>
    </xf>
    <xf numFmtId="17" fontId="22" fillId="0" borderId="35" xfId="0" applyNumberFormat="1" applyFont="1" applyBorder="1" applyAlignment="1">
      <alignment horizontal="center" vertical="center" wrapText="1"/>
    </xf>
    <xf numFmtId="17" fontId="22" fillId="4" borderId="36" xfId="0" applyNumberFormat="1" applyFont="1" applyFill="1" applyBorder="1" applyAlignment="1">
      <alignment horizontal="center" vertical="center" wrapText="1"/>
    </xf>
    <xf numFmtId="17" fontId="22" fillId="4" borderId="37" xfId="0" applyNumberFormat="1" applyFont="1" applyFill="1" applyBorder="1" applyAlignment="1">
      <alignment horizontal="center" vertical="center" wrapText="1"/>
    </xf>
    <xf numFmtId="0" fontId="20" fillId="0" borderId="17" xfId="0" applyFont="1" applyBorder="1"/>
    <xf numFmtId="3" fontId="4" fillId="0" borderId="13" xfId="1" applyNumberFormat="1" applyFont="1" applyBorder="1" applyAlignment="1" applyProtection="1">
      <alignment horizontal="center" vertical="center" wrapText="1"/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3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6" xfId="1" applyNumberFormat="1" applyFont="1" applyFill="1" applyBorder="1" applyAlignment="1">
      <alignment horizontal="center" vertical="center" wrapText="1"/>
    </xf>
    <xf numFmtId="0" fontId="0" fillId="0" borderId="0" xfId="0" quotePrefix="1"/>
    <xf numFmtId="0" fontId="3" fillId="8" borderId="38" xfId="1" applyFont="1" applyFill="1" applyBorder="1" applyAlignment="1">
      <alignment horizontal="center" vertical="center"/>
    </xf>
    <xf numFmtId="0" fontId="4" fillId="0" borderId="39" xfId="1" applyFont="1" applyBorder="1" applyAlignment="1">
      <alignment vertical="center"/>
    </xf>
    <xf numFmtId="0" fontId="3" fillId="0" borderId="40" xfId="1" applyFont="1" applyBorder="1"/>
    <xf numFmtId="0" fontId="0" fillId="4" borderId="15" xfId="0" applyFont="1" applyFill="1" applyBorder="1" applyAlignment="1">
      <alignment horizontal="left" vertical="center" wrapText="1"/>
    </xf>
    <xf numFmtId="0" fontId="3" fillId="0" borderId="42" xfId="1" applyFont="1" applyBorder="1" applyAlignment="1">
      <alignment vertical="center"/>
    </xf>
    <xf numFmtId="0" fontId="4" fillId="0" borderId="26" xfId="1" applyFont="1" applyBorder="1" applyAlignment="1">
      <alignment vertical="center" wrapText="1"/>
    </xf>
    <xf numFmtId="3" fontId="3" fillId="2" borderId="46" xfId="1" applyNumberFormat="1" applyFont="1" applyFill="1" applyBorder="1" applyAlignment="1">
      <alignment horizontal="center" vertical="center" wrapText="1"/>
    </xf>
    <xf numFmtId="3" fontId="3" fillId="0" borderId="46" xfId="1" applyNumberFormat="1" applyFont="1" applyFill="1" applyBorder="1" applyAlignment="1">
      <alignment horizontal="center" vertical="center" wrapText="1"/>
    </xf>
    <xf numFmtId="164" fontId="3" fillId="3" borderId="46" xfId="1" applyNumberFormat="1" applyFont="1" applyFill="1" applyBorder="1" applyAlignment="1">
      <alignment horizontal="center" vertical="center" wrapText="1"/>
    </xf>
    <xf numFmtId="3" fontId="4" fillId="4" borderId="4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46" xfId="1" applyNumberFormat="1" applyFont="1" applyBorder="1" applyAlignment="1">
      <alignment horizontal="center" wrapText="1"/>
    </xf>
    <xf numFmtId="164" fontId="6" fillId="3" borderId="47" xfId="1" applyNumberFormat="1" applyFont="1" applyFill="1" applyBorder="1" applyAlignment="1">
      <alignment horizontal="center" vertical="center" wrapText="1"/>
    </xf>
    <xf numFmtId="0" fontId="4" fillId="0" borderId="48" xfId="1" applyFont="1" applyBorder="1" applyAlignment="1">
      <alignment vertical="center"/>
    </xf>
    <xf numFmtId="0" fontId="3" fillId="8" borderId="49" xfId="1" applyFont="1" applyFill="1" applyBorder="1" applyAlignment="1">
      <alignment horizontal="center" vertical="center"/>
    </xf>
    <xf numFmtId="0" fontId="4" fillId="8" borderId="50" xfId="1" applyFont="1" applyFill="1" applyBorder="1" applyAlignment="1">
      <alignment horizontal="left" vertical="center" wrapText="1"/>
    </xf>
    <xf numFmtId="0" fontId="4" fillId="8" borderId="51" xfId="1" applyFont="1" applyFill="1" applyBorder="1" applyAlignment="1">
      <alignment horizontal="left" vertical="center"/>
    </xf>
    <xf numFmtId="0" fontId="4" fillId="2" borderId="52" xfId="1" applyFont="1" applyFill="1" applyBorder="1" applyAlignment="1">
      <alignment horizontal="center" vertical="center" wrapText="1"/>
    </xf>
    <xf numFmtId="164" fontId="4" fillId="3" borderId="53" xfId="1" applyNumberFormat="1" applyFont="1" applyFill="1" applyBorder="1" applyAlignment="1">
      <alignment horizontal="center" vertical="center" wrapText="1"/>
    </xf>
    <xf numFmtId="0" fontId="4" fillId="0" borderId="54" xfId="1" applyFont="1" applyFill="1" applyBorder="1" applyAlignment="1">
      <alignment horizontal="left" vertical="center"/>
    </xf>
    <xf numFmtId="3" fontId="4" fillId="2" borderId="55" xfId="1" applyNumberFormat="1" applyFont="1" applyFill="1" applyBorder="1" applyAlignment="1">
      <alignment horizontal="center" vertical="center" wrapText="1"/>
    </xf>
    <xf numFmtId="0" fontId="3" fillId="0" borderId="57" xfId="1" applyFont="1" applyBorder="1"/>
    <xf numFmtId="3" fontId="3" fillId="2" borderId="55" xfId="1" applyNumberFormat="1" applyFont="1" applyFill="1" applyBorder="1" applyAlignment="1">
      <alignment horizontal="center" vertical="center" wrapText="1"/>
    </xf>
    <xf numFmtId="3" fontId="3" fillId="0" borderId="55" xfId="1" applyNumberFormat="1" applyFont="1" applyFill="1" applyBorder="1" applyAlignment="1">
      <alignment horizontal="center" vertical="center" wrapText="1"/>
    </xf>
    <xf numFmtId="164" fontId="6" fillId="3" borderId="55" xfId="1" applyNumberFormat="1" applyFont="1" applyFill="1" applyBorder="1" applyAlignment="1">
      <alignment horizontal="center" vertical="center" wrapText="1"/>
    </xf>
    <xf numFmtId="164" fontId="6" fillId="3" borderId="46" xfId="1" applyNumberFormat="1" applyFont="1" applyFill="1" applyBorder="1" applyAlignment="1">
      <alignment horizontal="center" vertical="center" wrapText="1"/>
    </xf>
    <xf numFmtId="164" fontId="6" fillId="7" borderId="46" xfId="1" applyNumberFormat="1" applyFont="1" applyFill="1" applyBorder="1" applyAlignment="1">
      <alignment horizontal="center" vertical="center" wrapText="1"/>
    </xf>
    <xf numFmtId="3" fontId="3" fillId="2" borderId="58" xfId="1" applyNumberFormat="1" applyFont="1" applyFill="1" applyBorder="1" applyAlignment="1">
      <alignment horizontal="center" vertical="center" wrapText="1"/>
    </xf>
    <xf numFmtId="3" fontId="4" fillId="0" borderId="58" xfId="1" applyNumberFormat="1" applyFont="1" applyBorder="1" applyAlignment="1" applyProtection="1">
      <alignment horizontal="center" vertical="center" wrapText="1"/>
      <protection locked="0"/>
    </xf>
    <xf numFmtId="3" fontId="4" fillId="0" borderId="59" xfId="1" applyNumberFormat="1" applyFont="1" applyBorder="1" applyAlignment="1" applyProtection="1">
      <alignment horizontal="center" vertical="center" wrapText="1"/>
      <protection locked="0"/>
    </xf>
    <xf numFmtId="0" fontId="3" fillId="8" borderId="60" xfId="1" applyFont="1" applyFill="1" applyBorder="1" applyAlignment="1">
      <alignment horizontal="center" vertical="center"/>
    </xf>
    <xf numFmtId="0" fontId="3" fillId="2" borderId="61" xfId="1" applyFont="1" applyFill="1" applyBorder="1" applyAlignment="1">
      <alignment horizontal="center" vertical="center" wrapText="1"/>
    </xf>
    <xf numFmtId="0" fontId="4" fillId="0" borderId="62" xfId="1" applyFont="1" applyBorder="1" applyAlignment="1">
      <alignment vertical="center"/>
    </xf>
    <xf numFmtId="3" fontId="3" fillId="2" borderId="13" xfId="1" applyNumberFormat="1" applyFont="1" applyFill="1" applyBorder="1" applyAlignment="1">
      <alignment horizontal="center" vertical="center" wrapText="1"/>
    </xf>
    <xf numFmtId="0" fontId="3" fillId="8" borderId="63" xfId="1" applyFont="1" applyFill="1" applyBorder="1" applyAlignment="1">
      <alignment horizontal="center" vertical="center"/>
    </xf>
    <xf numFmtId="0" fontId="3" fillId="2" borderId="64" xfId="1" applyFont="1" applyFill="1" applyBorder="1" applyAlignment="1">
      <alignment horizontal="center" vertical="center" wrapText="1"/>
    </xf>
    <xf numFmtId="0" fontId="4" fillId="0" borderId="65" xfId="1" applyFont="1" applyBorder="1" applyAlignment="1">
      <alignment vertical="center"/>
    </xf>
    <xf numFmtId="3" fontId="3" fillId="2" borderId="66" xfId="1" applyNumberFormat="1" applyFont="1" applyFill="1" applyBorder="1" applyAlignment="1">
      <alignment horizontal="center" vertical="center" wrapText="1"/>
    </xf>
    <xf numFmtId="3" fontId="4" fillId="0" borderId="66" xfId="1" applyNumberFormat="1" applyFont="1" applyBorder="1" applyAlignment="1" applyProtection="1">
      <alignment horizontal="center" vertical="center" wrapText="1"/>
      <protection locked="0"/>
    </xf>
    <xf numFmtId="164" fontId="6" fillId="3" borderId="66" xfId="1" applyNumberFormat="1" applyFont="1" applyFill="1" applyBorder="1" applyAlignment="1">
      <alignment horizontal="center" vertical="center" wrapText="1"/>
    </xf>
    <xf numFmtId="0" fontId="4" fillId="0" borderId="67" xfId="1" applyFont="1" applyBorder="1" applyAlignment="1">
      <alignment vertical="center"/>
    </xf>
    <xf numFmtId="3" fontId="3" fillId="2" borderId="68" xfId="1" applyNumberFormat="1" applyFont="1" applyFill="1" applyBorder="1" applyAlignment="1">
      <alignment horizontal="center" vertical="center" wrapText="1"/>
    </xf>
    <xf numFmtId="3" fontId="4" fillId="0" borderId="68" xfId="1" applyNumberFormat="1" applyFont="1" applyBorder="1" applyAlignment="1" applyProtection="1">
      <alignment horizontal="center" vertical="center" wrapText="1"/>
      <protection locked="0"/>
    </xf>
    <xf numFmtId="164" fontId="6" fillId="3" borderId="68" xfId="1" applyNumberFormat="1" applyFont="1" applyFill="1" applyBorder="1" applyAlignment="1">
      <alignment horizontal="center" vertical="center" wrapText="1"/>
    </xf>
    <xf numFmtId="0" fontId="4" fillId="0" borderId="69" xfId="1" applyFont="1" applyBorder="1" applyAlignment="1">
      <alignment vertical="center"/>
    </xf>
    <xf numFmtId="3" fontId="3" fillId="2" borderId="70" xfId="1" applyNumberFormat="1" applyFont="1" applyFill="1" applyBorder="1" applyAlignment="1">
      <alignment horizontal="center" vertical="center" wrapText="1"/>
    </xf>
    <xf numFmtId="3" fontId="4" fillId="0" borderId="70" xfId="1" applyNumberFormat="1" applyFont="1" applyBorder="1" applyAlignment="1" applyProtection="1">
      <alignment horizontal="center" vertical="center" wrapText="1"/>
      <protection locked="0"/>
    </xf>
    <xf numFmtId="164" fontId="6" fillId="3" borderId="70" xfId="1" applyNumberFormat="1" applyFont="1" applyFill="1" applyBorder="1" applyAlignment="1">
      <alignment horizontal="center" vertical="center" wrapText="1"/>
    </xf>
    <xf numFmtId="0" fontId="3" fillId="8" borderId="71" xfId="1" applyFont="1" applyFill="1" applyBorder="1" applyAlignment="1">
      <alignment horizontal="center" vertical="center"/>
    </xf>
    <xf numFmtId="0" fontId="3" fillId="2" borderId="72" xfId="1" applyFont="1" applyFill="1" applyBorder="1" applyAlignment="1">
      <alignment horizontal="center" vertical="center" wrapText="1"/>
    </xf>
    <xf numFmtId="0" fontId="4" fillId="0" borderId="73" xfId="1" applyFont="1" applyBorder="1" applyAlignment="1">
      <alignment vertical="center"/>
    </xf>
    <xf numFmtId="0" fontId="4" fillId="0" borderId="74" xfId="1" applyFont="1" applyBorder="1" applyAlignment="1">
      <alignment vertical="center"/>
    </xf>
    <xf numFmtId="3" fontId="3" fillId="2" borderId="75" xfId="1" applyNumberFormat="1" applyFont="1" applyFill="1" applyBorder="1" applyAlignment="1">
      <alignment horizontal="center" vertical="center" wrapText="1"/>
    </xf>
    <xf numFmtId="3" fontId="4" fillId="0" borderId="75" xfId="1" applyNumberFormat="1" applyFont="1" applyBorder="1" applyAlignment="1" applyProtection="1">
      <alignment horizontal="center" vertical="center" wrapText="1"/>
      <protection locked="0"/>
    </xf>
    <xf numFmtId="0" fontId="4" fillId="0" borderId="76" xfId="1" applyFont="1" applyBorder="1" applyAlignment="1">
      <alignment vertical="center"/>
    </xf>
    <xf numFmtId="0" fontId="4" fillId="0" borderId="77" xfId="1" applyFont="1" applyBorder="1" applyAlignment="1">
      <alignment vertical="center"/>
    </xf>
    <xf numFmtId="0" fontId="4" fillId="0" borderId="78" xfId="1" applyFont="1" applyBorder="1" applyAlignment="1">
      <alignment vertical="center"/>
    </xf>
    <xf numFmtId="3" fontId="3" fillId="2" borderId="79" xfId="1" applyNumberFormat="1" applyFont="1" applyFill="1" applyBorder="1" applyAlignment="1">
      <alignment horizontal="center" vertical="center" wrapText="1"/>
    </xf>
    <xf numFmtId="3" fontId="4" fillId="0" borderId="79" xfId="1" applyNumberFormat="1" applyFont="1" applyBorder="1" applyAlignment="1" applyProtection="1">
      <alignment horizontal="center" vertical="center" wrapText="1"/>
      <protection locked="0"/>
    </xf>
    <xf numFmtId="164" fontId="6" fillId="3" borderId="79" xfId="1" applyNumberFormat="1" applyFont="1" applyFill="1" applyBorder="1" applyAlignment="1">
      <alignment horizontal="center" vertical="center" wrapText="1"/>
    </xf>
    <xf numFmtId="0" fontId="3" fillId="8" borderId="80" xfId="1" applyFont="1" applyFill="1" applyBorder="1" applyAlignment="1">
      <alignment horizontal="center" vertical="center"/>
    </xf>
    <xf numFmtId="0" fontId="3" fillId="2" borderId="81" xfId="1" applyFont="1" applyFill="1" applyBorder="1" applyAlignment="1">
      <alignment horizontal="center" vertical="center" wrapText="1"/>
    </xf>
    <xf numFmtId="0" fontId="3" fillId="8" borderId="81" xfId="1" applyFont="1" applyFill="1" applyBorder="1" applyAlignment="1">
      <alignment horizontal="center" vertical="center"/>
    </xf>
    <xf numFmtId="0" fontId="3" fillId="10" borderId="81" xfId="1" applyFont="1" applyFill="1" applyBorder="1" applyAlignment="1">
      <alignment horizontal="center" vertical="center"/>
    </xf>
    <xf numFmtId="0" fontId="3" fillId="6" borderId="81" xfId="1" applyFont="1" applyFill="1" applyBorder="1" applyAlignment="1">
      <alignment horizontal="center" vertical="center"/>
    </xf>
    <xf numFmtId="0" fontId="4" fillId="0" borderId="82" xfId="1" applyFont="1" applyBorder="1" applyAlignment="1">
      <alignment vertical="center"/>
    </xf>
    <xf numFmtId="3" fontId="3" fillId="2" borderId="83" xfId="1" applyNumberFormat="1" applyFont="1" applyFill="1" applyBorder="1" applyAlignment="1">
      <alignment horizontal="center" vertical="center" wrapText="1"/>
    </xf>
    <xf numFmtId="3" fontId="4" fillId="0" borderId="83" xfId="1" applyNumberFormat="1" applyFont="1" applyBorder="1" applyAlignment="1" applyProtection="1">
      <alignment horizontal="center" vertical="center" wrapText="1"/>
      <protection locked="0"/>
    </xf>
    <xf numFmtId="164" fontId="6" fillId="3" borderId="83" xfId="1" applyNumberFormat="1" applyFont="1" applyFill="1" applyBorder="1" applyAlignment="1">
      <alignment horizontal="center" vertical="center" wrapText="1"/>
    </xf>
    <xf numFmtId="0" fontId="4" fillId="0" borderId="84" xfId="1" applyFont="1" applyBorder="1" applyAlignment="1">
      <alignment vertical="center"/>
    </xf>
    <xf numFmtId="3" fontId="3" fillId="2" borderId="85" xfId="1" applyNumberFormat="1" applyFont="1" applyFill="1" applyBorder="1" applyAlignment="1">
      <alignment horizontal="center" vertical="center" wrapText="1"/>
    </xf>
    <xf numFmtId="3" fontId="4" fillId="0" borderId="85" xfId="1" applyNumberFormat="1" applyFont="1" applyBorder="1" applyAlignment="1" applyProtection="1">
      <alignment horizontal="center" vertical="center" wrapText="1"/>
      <protection locked="0"/>
    </xf>
    <xf numFmtId="164" fontId="6" fillId="3" borderId="85" xfId="1" applyNumberFormat="1" applyFont="1" applyFill="1" applyBorder="1" applyAlignment="1">
      <alignment horizontal="center" vertical="center" wrapText="1"/>
    </xf>
    <xf numFmtId="0" fontId="4" fillId="0" borderId="86" xfId="1" applyFont="1" applyBorder="1" applyAlignment="1">
      <alignment vertical="center"/>
    </xf>
    <xf numFmtId="3" fontId="3" fillId="2" borderId="87" xfId="1" applyNumberFormat="1" applyFont="1" applyFill="1" applyBorder="1" applyAlignment="1">
      <alignment horizontal="center" vertical="center" wrapText="1"/>
    </xf>
    <xf numFmtId="3" fontId="4" fillId="0" borderId="87" xfId="1" applyNumberFormat="1" applyFont="1" applyBorder="1" applyAlignment="1" applyProtection="1">
      <alignment horizontal="center" vertical="center" wrapText="1"/>
      <protection locked="0"/>
    </xf>
    <xf numFmtId="164" fontId="6" fillId="3" borderId="87" xfId="1" applyNumberFormat="1" applyFont="1" applyFill="1" applyBorder="1" applyAlignment="1">
      <alignment horizontal="center" vertical="center" wrapText="1"/>
    </xf>
    <xf numFmtId="0" fontId="4" fillId="0" borderId="88" xfId="1" applyFont="1" applyBorder="1" applyAlignment="1">
      <alignment vertical="center"/>
    </xf>
    <xf numFmtId="3" fontId="3" fillId="2" borderId="89" xfId="1" applyNumberFormat="1" applyFont="1" applyFill="1" applyBorder="1" applyAlignment="1">
      <alignment horizontal="center" vertical="center" wrapText="1"/>
    </xf>
    <xf numFmtId="3" fontId="4" fillId="0" borderId="89" xfId="1" applyNumberFormat="1" applyFont="1" applyBorder="1" applyAlignment="1" applyProtection="1">
      <alignment horizontal="center" vertical="center" wrapText="1"/>
      <protection locked="0"/>
    </xf>
    <xf numFmtId="164" fontId="6" fillId="3" borderId="89" xfId="1" applyNumberFormat="1" applyFont="1" applyFill="1" applyBorder="1" applyAlignment="1">
      <alignment horizontal="center" vertical="center" wrapText="1"/>
    </xf>
    <xf numFmtId="164" fontId="6" fillId="7" borderId="89" xfId="1" applyNumberFormat="1" applyFont="1" applyFill="1" applyBorder="1" applyAlignment="1">
      <alignment horizontal="center" vertical="center" wrapText="1"/>
    </xf>
    <xf numFmtId="0" fontId="3" fillId="8" borderId="90" xfId="1" applyFont="1" applyFill="1" applyBorder="1" applyAlignment="1">
      <alignment horizontal="center" vertical="center"/>
    </xf>
    <xf numFmtId="0" fontId="3" fillId="2" borderId="91" xfId="1" applyFont="1" applyFill="1" applyBorder="1" applyAlignment="1">
      <alignment horizontal="center" vertical="center" wrapText="1"/>
    </xf>
    <xf numFmtId="3" fontId="3" fillId="2" borderId="92" xfId="1" applyNumberFormat="1" applyFont="1" applyFill="1" applyBorder="1" applyAlignment="1">
      <alignment horizontal="center" vertical="center" wrapText="1"/>
    </xf>
    <xf numFmtId="0" fontId="3" fillId="8" borderId="93" xfId="1" applyFont="1" applyFill="1" applyBorder="1" applyAlignment="1">
      <alignment horizontal="center" vertical="center"/>
    </xf>
    <xf numFmtId="0" fontId="3" fillId="15" borderId="94" xfId="1" applyFont="1" applyFill="1" applyBorder="1" applyAlignment="1">
      <alignment horizontal="center" vertical="center" wrapText="1"/>
    </xf>
    <xf numFmtId="0" fontId="4" fillId="0" borderId="95" xfId="1" applyFont="1" applyBorder="1" applyAlignment="1">
      <alignment vertical="center"/>
    </xf>
    <xf numFmtId="3" fontId="3" fillId="15" borderId="46" xfId="1" applyNumberFormat="1" applyFont="1" applyFill="1" applyBorder="1" applyAlignment="1">
      <alignment horizontal="center" vertical="center" wrapText="1"/>
    </xf>
    <xf numFmtId="0" fontId="3" fillId="8" borderId="96" xfId="1" applyFont="1" applyFill="1" applyBorder="1" applyAlignment="1">
      <alignment horizontal="center" vertical="center"/>
    </xf>
    <xf numFmtId="0" fontId="3" fillId="2" borderId="97" xfId="1" applyFont="1" applyFill="1" applyBorder="1" applyAlignment="1">
      <alignment horizontal="center" vertical="center" wrapText="1"/>
    </xf>
    <xf numFmtId="0" fontId="4" fillId="0" borderId="98" xfId="1" applyFont="1" applyBorder="1" applyAlignment="1">
      <alignment vertical="center"/>
    </xf>
    <xf numFmtId="3" fontId="3" fillId="2" borderId="99" xfId="1" applyNumberFormat="1" applyFont="1" applyFill="1" applyBorder="1" applyAlignment="1">
      <alignment horizontal="center" vertical="center" wrapText="1"/>
    </xf>
    <xf numFmtId="3" fontId="4" fillId="0" borderId="99" xfId="1" applyNumberFormat="1" applyFont="1" applyBorder="1" applyAlignment="1" applyProtection="1">
      <alignment horizontal="center" vertical="center" wrapText="1"/>
      <protection locked="0"/>
    </xf>
    <xf numFmtId="164" fontId="6" fillId="3" borderId="99" xfId="1" applyNumberFormat="1" applyFont="1" applyFill="1" applyBorder="1" applyAlignment="1">
      <alignment horizontal="center" vertical="center" wrapText="1"/>
    </xf>
    <xf numFmtId="0" fontId="4" fillId="0" borderId="100" xfId="1" applyFont="1" applyBorder="1" applyAlignment="1">
      <alignment vertical="center"/>
    </xf>
    <xf numFmtId="3" fontId="3" fillId="2" borderId="101" xfId="1" applyNumberFormat="1" applyFont="1" applyFill="1" applyBorder="1" applyAlignment="1">
      <alignment horizontal="center" vertical="center" wrapText="1"/>
    </xf>
    <xf numFmtId="3" fontId="4" fillId="0" borderId="101" xfId="1" applyNumberFormat="1" applyFont="1" applyBorder="1" applyAlignment="1" applyProtection="1">
      <alignment horizontal="center" vertical="center" wrapText="1"/>
      <protection locked="0"/>
    </xf>
    <xf numFmtId="164" fontId="6" fillId="3" borderId="101" xfId="1" applyNumberFormat="1" applyFont="1" applyFill="1" applyBorder="1" applyAlignment="1">
      <alignment horizontal="center" vertical="center" wrapText="1"/>
    </xf>
    <xf numFmtId="0" fontId="4" fillId="0" borderId="102" xfId="1" applyFont="1" applyBorder="1" applyAlignment="1">
      <alignment vertical="center"/>
    </xf>
    <xf numFmtId="3" fontId="3" fillId="2" borderId="103" xfId="1" applyNumberFormat="1" applyFont="1" applyFill="1" applyBorder="1" applyAlignment="1">
      <alignment horizontal="center" vertical="center" wrapText="1"/>
    </xf>
    <xf numFmtId="3" fontId="4" fillId="0" borderId="103" xfId="1" applyNumberFormat="1" applyFont="1" applyBorder="1" applyAlignment="1" applyProtection="1">
      <alignment horizontal="center" vertical="center" wrapText="1"/>
      <protection locked="0"/>
    </xf>
    <xf numFmtId="164" fontId="6" fillId="3" borderId="103" xfId="1" applyNumberFormat="1" applyFont="1" applyFill="1" applyBorder="1" applyAlignment="1">
      <alignment horizontal="center" vertical="center" wrapText="1"/>
    </xf>
    <xf numFmtId="0" fontId="3" fillId="8" borderId="104" xfId="1" applyFont="1" applyFill="1" applyBorder="1" applyAlignment="1">
      <alignment horizontal="center" vertical="center"/>
    </xf>
    <xf numFmtId="0" fontId="3" fillId="2" borderId="105" xfId="1" applyFont="1" applyFill="1" applyBorder="1" applyAlignment="1">
      <alignment horizontal="center" vertical="center" wrapText="1"/>
    </xf>
    <xf numFmtId="0" fontId="4" fillId="0" borderId="106" xfId="1" applyFont="1" applyBorder="1" applyAlignment="1">
      <alignment vertical="center"/>
    </xf>
    <xf numFmtId="3" fontId="3" fillId="2" borderId="107" xfId="1" applyNumberFormat="1" applyFont="1" applyFill="1" applyBorder="1" applyAlignment="1">
      <alignment horizontal="center" vertical="center" wrapText="1"/>
    </xf>
    <xf numFmtId="3" fontId="4" fillId="0" borderId="107" xfId="1" applyNumberFormat="1" applyFont="1" applyBorder="1" applyAlignment="1" applyProtection="1">
      <alignment horizontal="center" vertical="center" wrapText="1"/>
      <protection locked="0"/>
    </xf>
    <xf numFmtId="0" fontId="4" fillId="0" borderId="108" xfId="1" applyFont="1" applyBorder="1" applyAlignment="1">
      <alignment vertical="center"/>
    </xf>
    <xf numFmtId="3" fontId="3" fillId="2" borderId="109" xfId="1" applyNumberFormat="1" applyFont="1" applyFill="1" applyBorder="1" applyAlignment="1">
      <alignment horizontal="center" vertical="center" wrapText="1"/>
    </xf>
    <xf numFmtId="3" fontId="4" fillId="0" borderId="109" xfId="1" applyNumberFormat="1" applyFont="1" applyBorder="1" applyAlignment="1" applyProtection="1">
      <alignment horizontal="center" vertical="center" wrapText="1"/>
      <protection locked="0"/>
    </xf>
    <xf numFmtId="0" fontId="4" fillId="0" borderId="110" xfId="1" applyFont="1" applyBorder="1" applyAlignment="1">
      <alignment vertical="center"/>
    </xf>
    <xf numFmtId="3" fontId="3" fillId="2" borderId="111" xfId="1" applyNumberFormat="1" applyFont="1" applyFill="1" applyBorder="1" applyAlignment="1">
      <alignment horizontal="center" vertical="center" wrapText="1"/>
    </xf>
    <xf numFmtId="3" fontId="4" fillId="0" borderId="111" xfId="1" applyNumberFormat="1" applyFont="1" applyBorder="1" applyAlignment="1" applyProtection="1">
      <alignment horizontal="center" vertical="center" wrapText="1"/>
      <protection locked="0"/>
    </xf>
    <xf numFmtId="164" fontId="6" fillId="3" borderId="111" xfId="1" applyNumberFormat="1" applyFont="1" applyFill="1" applyBorder="1" applyAlignment="1">
      <alignment horizontal="center" vertical="center" wrapText="1"/>
    </xf>
    <xf numFmtId="0" fontId="3" fillId="8" borderId="112" xfId="1" applyFont="1" applyFill="1" applyBorder="1" applyAlignment="1">
      <alignment horizontal="center" vertical="center"/>
    </xf>
    <xf numFmtId="0" fontId="3" fillId="2" borderId="113" xfId="1" applyFont="1" applyFill="1" applyBorder="1" applyAlignment="1">
      <alignment horizontal="center" vertical="center" wrapText="1"/>
    </xf>
    <xf numFmtId="0" fontId="4" fillId="0" borderId="114" xfId="1" applyFont="1" applyBorder="1" applyAlignment="1">
      <alignment vertical="center"/>
    </xf>
    <xf numFmtId="3" fontId="3" fillId="2" borderId="115" xfId="1" applyNumberFormat="1" applyFont="1" applyFill="1" applyBorder="1" applyAlignment="1">
      <alignment horizontal="center" vertical="center" wrapText="1"/>
    </xf>
    <xf numFmtId="3" fontId="4" fillId="0" borderId="115" xfId="1" applyNumberFormat="1" applyFont="1" applyBorder="1" applyAlignment="1" applyProtection="1">
      <alignment horizontal="center" vertical="center" wrapText="1"/>
      <protection locked="0"/>
    </xf>
    <xf numFmtId="0" fontId="4" fillId="0" borderId="116" xfId="1" applyFont="1" applyBorder="1" applyAlignment="1">
      <alignment vertical="center"/>
    </xf>
    <xf numFmtId="3" fontId="3" fillId="2" borderId="117" xfId="1" applyNumberFormat="1" applyFont="1" applyFill="1" applyBorder="1" applyAlignment="1">
      <alignment horizontal="center" vertical="center" wrapText="1"/>
    </xf>
    <xf numFmtId="3" fontId="4" fillId="0" borderId="117" xfId="1" applyNumberFormat="1" applyFont="1" applyBorder="1" applyAlignment="1" applyProtection="1">
      <alignment horizontal="center" vertical="center" wrapText="1"/>
      <protection locked="0"/>
    </xf>
    <xf numFmtId="0" fontId="4" fillId="0" borderId="118" xfId="1" applyFont="1" applyBorder="1" applyAlignment="1">
      <alignment vertical="center"/>
    </xf>
    <xf numFmtId="3" fontId="3" fillId="2" borderId="119" xfId="1" applyNumberFormat="1" applyFont="1" applyFill="1" applyBorder="1" applyAlignment="1">
      <alignment horizontal="center" vertical="center" wrapText="1"/>
    </xf>
    <xf numFmtId="3" fontId="4" fillId="0" borderId="119" xfId="1" applyNumberFormat="1" applyFont="1" applyBorder="1" applyAlignment="1" applyProtection="1">
      <alignment horizontal="center" vertical="center" wrapText="1"/>
      <protection locked="0"/>
    </xf>
    <xf numFmtId="164" fontId="6" fillId="3" borderId="119" xfId="1" applyNumberFormat="1" applyFont="1" applyFill="1" applyBorder="1" applyAlignment="1">
      <alignment horizontal="center" vertical="center" wrapText="1"/>
    </xf>
    <xf numFmtId="0" fontId="3" fillId="8" borderId="120" xfId="1" applyFont="1" applyFill="1" applyBorder="1" applyAlignment="1">
      <alignment horizontal="center" vertical="center"/>
    </xf>
    <xf numFmtId="0" fontId="3" fillId="2" borderId="121" xfId="1" applyFont="1" applyFill="1" applyBorder="1" applyAlignment="1">
      <alignment horizontal="center" vertical="center" wrapText="1"/>
    </xf>
    <xf numFmtId="0" fontId="4" fillId="0" borderId="122" xfId="1" applyFont="1" applyBorder="1" applyAlignment="1">
      <alignment vertical="center"/>
    </xf>
    <xf numFmtId="3" fontId="3" fillId="2" borderId="123" xfId="1" applyNumberFormat="1" applyFont="1" applyFill="1" applyBorder="1" applyAlignment="1">
      <alignment horizontal="center" vertical="center" wrapText="1"/>
    </xf>
    <xf numFmtId="3" fontId="4" fillId="0" borderId="123" xfId="1" applyNumberFormat="1" applyFont="1" applyBorder="1" applyAlignment="1" applyProtection="1">
      <alignment horizontal="center" vertical="center" wrapText="1"/>
      <protection locked="0"/>
    </xf>
    <xf numFmtId="0" fontId="4" fillId="0" borderId="124" xfId="1" applyFont="1" applyBorder="1" applyAlignment="1">
      <alignment vertical="center"/>
    </xf>
    <xf numFmtId="3" fontId="3" fillId="2" borderId="125" xfId="1" applyNumberFormat="1" applyFont="1" applyFill="1" applyBorder="1" applyAlignment="1">
      <alignment horizontal="center" vertical="center" wrapText="1"/>
    </xf>
    <xf numFmtId="3" fontId="4" fillId="0" borderId="125" xfId="1" applyNumberFormat="1" applyFont="1" applyBorder="1" applyAlignment="1" applyProtection="1">
      <alignment horizontal="center" vertical="center" wrapText="1"/>
      <protection locked="0"/>
    </xf>
    <xf numFmtId="0" fontId="4" fillId="0" borderId="126" xfId="1" applyFont="1" applyBorder="1" applyAlignment="1">
      <alignment vertical="center"/>
    </xf>
    <xf numFmtId="3" fontId="3" fillId="2" borderId="127" xfId="1" applyNumberFormat="1" applyFont="1" applyFill="1" applyBorder="1" applyAlignment="1">
      <alignment horizontal="center" vertical="center" wrapText="1"/>
    </xf>
    <xf numFmtId="3" fontId="4" fillId="0" borderId="127" xfId="1" applyNumberFormat="1" applyFont="1" applyBorder="1" applyAlignment="1" applyProtection="1">
      <alignment horizontal="center" vertical="center" wrapText="1"/>
      <protection locked="0"/>
    </xf>
    <xf numFmtId="164" fontId="6" fillId="3" borderId="127" xfId="1" applyNumberFormat="1" applyFont="1" applyFill="1" applyBorder="1" applyAlignment="1">
      <alignment horizontal="center" vertical="center" wrapText="1"/>
    </xf>
    <xf numFmtId="0" fontId="3" fillId="8" borderId="128" xfId="1" applyFont="1" applyFill="1" applyBorder="1" applyAlignment="1">
      <alignment horizontal="center" vertical="center"/>
    </xf>
    <xf numFmtId="0" fontId="3" fillId="2" borderId="129" xfId="1" applyFont="1" applyFill="1" applyBorder="1" applyAlignment="1">
      <alignment horizontal="center" vertical="center" wrapText="1"/>
    </xf>
    <xf numFmtId="0" fontId="4" fillId="0" borderId="130" xfId="1" applyFont="1" applyBorder="1" applyAlignment="1">
      <alignment vertical="center"/>
    </xf>
    <xf numFmtId="3" fontId="3" fillId="2" borderId="131" xfId="1" applyNumberFormat="1" applyFont="1" applyFill="1" applyBorder="1" applyAlignment="1">
      <alignment horizontal="center" vertical="center" wrapText="1"/>
    </xf>
    <xf numFmtId="3" fontId="4" fillId="0" borderId="131" xfId="1" applyNumberFormat="1" applyFont="1" applyBorder="1" applyAlignment="1" applyProtection="1">
      <alignment horizontal="center" vertical="center" wrapText="1"/>
      <protection locked="0"/>
    </xf>
    <xf numFmtId="0" fontId="4" fillId="0" borderId="132" xfId="1" applyFont="1" applyBorder="1" applyAlignment="1">
      <alignment vertical="center"/>
    </xf>
    <xf numFmtId="3" fontId="3" fillId="2" borderId="133" xfId="1" applyNumberFormat="1" applyFont="1" applyFill="1" applyBorder="1" applyAlignment="1">
      <alignment horizontal="center" vertical="center" wrapText="1"/>
    </xf>
    <xf numFmtId="3" fontId="4" fillId="0" borderId="133" xfId="1" applyNumberFormat="1" applyFont="1" applyBorder="1" applyAlignment="1" applyProtection="1">
      <alignment horizontal="center" vertical="center" wrapText="1"/>
      <protection locked="0"/>
    </xf>
    <xf numFmtId="0" fontId="4" fillId="0" borderId="134" xfId="1" applyFont="1" applyBorder="1" applyAlignment="1">
      <alignment vertical="center"/>
    </xf>
    <xf numFmtId="3" fontId="3" fillId="2" borderId="135" xfId="1" applyNumberFormat="1" applyFont="1" applyFill="1" applyBorder="1" applyAlignment="1">
      <alignment horizontal="center" vertical="center" wrapText="1"/>
    </xf>
    <xf numFmtId="3" fontId="4" fillId="0" borderId="135" xfId="1" applyNumberFormat="1" applyFont="1" applyBorder="1" applyAlignment="1" applyProtection="1">
      <alignment horizontal="center" vertical="center" wrapText="1"/>
      <protection locked="0"/>
    </xf>
    <xf numFmtId="164" fontId="6" fillId="3" borderId="135" xfId="1" applyNumberFormat="1" applyFont="1" applyFill="1" applyBorder="1" applyAlignment="1">
      <alignment horizontal="center" vertical="center" wrapText="1"/>
    </xf>
    <xf numFmtId="0" fontId="3" fillId="8" borderId="136" xfId="1" applyFont="1" applyFill="1" applyBorder="1" applyAlignment="1">
      <alignment horizontal="center" vertical="center"/>
    </xf>
    <xf numFmtId="0" fontId="3" fillId="2" borderId="137" xfId="1" applyFont="1" applyFill="1" applyBorder="1" applyAlignment="1">
      <alignment horizontal="center" vertical="center" wrapText="1"/>
    </xf>
    <xf numFmtId="0" fontId="4" fillId="0" borderId="138" xfId="1" applyFont="1" applyBorder="1" applyAlignment="1">
      <alignment vertical="center"/>
    </xf>
    <xf numFmtId="3" fontId="3" fillId="2" borderId="139" xfId="1" applyNumberFormat="1" applyFont="1" applyFill="1" applyBorder="1" applyAlignment="1">
      <alignment horizontal="center" vertical="center" wrapText="1"/>
    </xf>
    <xf numFmtId="0" fontId="4" fillId="0" borderId="140" xfId="1" applyFont="1" applyBorder="1" applyAlignment="1">
      <alignment vertical="center"/>
    </xf>
    <xf numFmtId="3" fontId="3" fillId="2" borderId="141" xfId="1" applyNumberFormat="1" applyFont="1" applyFill="1" applyBorder="1" applyAlignment="1">
      <alignment horizontal="center" vertical="center" wrapText="1"/>
    </xf>
    <xf numFmtId="0" fontId="4" fillId="0" borderId="142" xfId="1" applyFont="1" applyBorder="1" applyAlignment="1">
      <alignment vertical="center"/>
    </xf>
    <xf numFmtId="3" fontId="3" fillId="2" borderId="143" xfId="1" applyNumberFormat="1" applyFont="1" applyFill="1" applyBorder="1" applyAlignment="1">
      <alignment horizontal="center" vertical="center" wrapText="1"/>
    </xf>
    <xf numFmtId="164" fontId="6" fillId="3" borderId="143" xfId="1" applyNumberFormat="1" applyFont="1" applyFill="1" applyBorder="1" applyAlignment="1">
      <alignment horizontal="center" vertical="center" wrapText="1"/>
    </xf>
    <xf numFmtId="0" fontId="3" fillId="8" borderId="144" xfId="1" applyFont="1" applyFill="1" applyBorder="1" applyAlignment="1">
      <alignment horizontal="center" vertical="center"/>
    </xf>
    <xf numFmtId="0" fontId="3" fillId="2" borderId="145" xfId="1" applyFont="1" applyFill="1" applyBorder="1" applyAlignment="1">
      <alignment horizontal="center" vertical="center" wrapText="1"/>
    </xf>
    <xf numFmtId="0" fontId="4" fillId="0" borderId="146" xfId="1" applyFont="1" applyBorder="1" applyAlignment="1">
      <alignment vertical="center"/>
    </xf>
    <xf numFmtId="3" fontId="3" fillId="2" borderId="147" xfId="1" applyNumberFormat="1" applyFont="1" applyFill="1" applyBorder="1" applyAlignment="1">
      <alignment horizontal="center" vertical="center" wrapText="1"/>
    </xf>
    <xf numFmtId="3" fontId="4" fillId="0" borderId="147" xfId="1" applyNumberFormat="1" applyFont="1" applyBorder="1" applyAlignment="1" applyProtection="1">
      <alignment horizontal="center" vertical="center" wrapText="1"/>
      <protection locked="0"/>
    </xf>
    <xf numFmtId="0" fontId="4" fillId="0" borderId="148" xfId="1" applyFont="1" applyBorder="1" applyAlignment="1">
      <alignment vertical="center"/>
    </xf>
    <xf numFmtId="3" fontId="3" fillId="2" borderId="149" xfId="1" applyNumberFormat="1" applyFont="1" applyFill="1" applyBorder="1" applyAlignment="1">
      <alignment horizontal="center" vertical="center" wrapText="1"/>
    </xf>
    <xf numFmtId="3" fontId="4" fillId="0" borderId="149" xfId="1" applyNumberFormat="1" applyFont="1" applyBorder="1" applyAlignment="1" applyProtection="1">
      <alignment horizontal="center" vertical="center" wrapText="1"/>
      <protection locked="0"/>
    </xf>
    <xf numFmtId="0" fontId="4" fillId="0" borderId="150" xfId="1" applyFont="1" applyBorder="1" applyAlignment="1">
      <alignment vertical="center"/>
    </xf>
    <xf numFmtId="3" fontId="3" fillId="2" borderId="151" xfId="1" applyNumberFormat="1" applyFont="1" applyFill="1" applyBorder="1" applyAlignment="1">
      <alignment horizontal="center" vertical="center" wrapText="1"/>
    </xf>
    <xf numFmtId="3" fontId="4" fillId="0" borderId="151" xfId="1" applyNumberFormat="1" applyFont="1" applyBorder="1" applyAlignment="1" applyProtection="1">
      <alignment horizontal="center" vertical="center" wrapText="1"/>
      <protection locked="0"/>
    </xf>
    <xf numFmtId="164" fontId="6" fillId="3" borderId="151" xfId="1" applyNumberFormat="1" applyFont="1" applyFill="1" applyBorder="1" applyAlignment="1">
      <alignment horizontal="center" vertical="center" wrapText="1"/>
    </xf>
    <xf numFmtId="0" fontId="3" fillId="8" borderId="152" xfId="1" applyFont="1" applyFill="1" applyBorder="1" applyAlignment="1">
      <alignment horizontal="center" vertical="center"/>
    </xf>
    <xf numFmtId="0" fontId="3" fillId="2" borderId="153" xfId="1" applyFont="1" applyFill="1" applyBorder="1" applyAlignment="1">
      <alignment horizontal="center" vertical="center" wrapText="1"/>
    </xf>
    <xf numFmtId="0" fontId="3" fillId="8" borderId="155" xfId="1" applyFont="1" applyFill="1" applyBorder="1" applyAlignment="1">
      <alignment horizontal="center" vertical="center"/>
    </xf>
    <xf numFmtId="0" fontId="3" fillId="2" borderId="156" xfId="1" applyFont="1" applyFill="1" applyBorder="1" applyAlignment="1">
      <alignment horizontal="center" vertical="center" wrapText="1"/>
    </xf>
    <xf numFmtId="0" fontId="4" fillId="0" borderId="157" xfId="1" applyFont="1" applyBorder="1" applyAlignment="1">
      <alignment vertical="center"/>
    </xf>
    <xf numFmtId="3" fontId="3" fillId="2" borderId="158" xfId="1" applyNumberFormat="1" applyFont="1" applyFill="1" applyBorder="1" applyAlignment="1">
      <alignment horizontal="center" vertical="center" wrapText="1"/>
    </xf>
    <xf numFmtId="3" fontId="4" fillId="0" borderId="158" xfId="1" applyNumberFormat="1" applyFont="1" applyBorder="1" applyAlignment="1" applyProtection="1">
      <alignment horizontal="center" vertical="center" wrapText="1"/>
      <protection locked="0"/>
    </xf>
    <xf numFmtId="0" fontId="4" fillId="0" borderId="159" xfId="1" applyFont="1" applyBorder="1" applyAlignment="1">
      <alignment vertical="center"/>
    </xf>
    <xf numFmtId="3" fontId="3" fillId="2" borderId="160" xfId="1" applyNumberFormat="1" applyFont="1" applyFill="1" applyBorder="1" applyAlignment="1">
      <alignment horizontal="center" vertical="center" wrapText="1"/>
    </xf>
    <xf numFmtId="3" fontId="4" fillId="0" borderId="160" xfId="1" applyNumberFormat="1" applyFont="1" applyBorder="1" applyAlignment="1" applyProtection="1">
      <alignment horizontal="center" vertical="center" wrapText="1"/>
      <protection locked="0"/>
    </xf>
    <xf numFmtId="0" fontId="4" fillId="0" borderId="161" xfId="1" applyFont="1" applyBorder="1" applyAlignment="1">
      <alignment vertical="center"/>
    </xf>
    <xf numFmtId="3" fontId="3" fillId="2" borderId="162" xfId="1" applyNumberFormat="1" applyFont="1" applyFill="1" applyBorder="1" applyAlignment="1">
      <alignment horizontal="center" vertical="center" wrapText="1"/>
    </xf>
    <xf numFmtId="3" fontId="4" fillId="0" borderId="162" xfId="1" applyNumberFormat="1" applyFont="1" applyBorder="1" applyAlignment="1" applyProtection="1">
      <alignment horizontal="center" vertical="center" wrapText="1"/>
      <protection locked="0"/>
    </xf>
    <xf numFmtId="164" fontId="6" fillId="3" borderId="162" xfId="1" applyNumberFormat="1" applyFont="1" applyFill="1" applyBorder="1" applyAlignment="1">
      <alignment horizontal="center" vertical="center" wrapText="1"/>
    </xf>
    <xf numFmtId="0" fontId="3" fillId="8" borderId="164" xfId="1" applyFont="1" applyFill="1" applyBorder="1" applyAlignment="1">
      <alignment horizontal="center" vertical="center"/>
    </xf>
    <xf numFmtId="0" fontId="3" fillId="2" borderId="165" xfId="1" applyFont="1" applyFill="1" applyBorder="1" applyAlignment="1">
      <alignment horizontal="center" vertical="center" wrapText="1"/>
    </xf>
    <xf numFmtId="0" fontId="4" fillId="0" borderId="166" xfId="1" applyFont="1" applyBorder="1" applyAlignment="1">
      <alignment vertical="center"/>
    </xf>
    <xf numFmtId="3" fontId="3" fillId="2" borderId="167" xfId="1" applyNumberFormat="1" applyFont="1" applyFill="1" applyBorder="1" applyAlignment="1">
      <alignment horizontal="center" vertical="center" wrapText="1"/>
    </xf>
    <xf numFmtId="3" fontId="4" fillId="0" borderId="167" xfId="1" applyNumberFormat="1" applyFont="1" applyBorder="1" applyAlignment="1" applyProtection="1">
      <alignment horizontal="center" vertical="center" wrapText="1"/>
      <protection locked="0"/>
    </xf>
    <xf numFmtId="164" fontId="6" fillId="3" borderId="167" xfId="1" applyNumberFormat="1" applyFont="1" applyFill="1" applyBorder="1" applyAlignment="1">
      <alignment horizontal="center" vertical="center" wrapText="1"/>
    </xf>
    <xf numFmtId="0" fontId="4" fillId="0" borderId="168" xfId="1" applyFont="1" applyBorder="1" applyAlignment="1">
      <alignment vertical="center"/>
    </xf>
    <xf numFmtId="3" fontId="3" fillId="2" borderId="169" xfId="1" applyNumberFormat="1" applyFont="1" applyFill="1" applyBorder="1" applyAlignment="1">
      <alignment horizontal="center" vertical="center" wrapText="1"/>
    </xf>
    <xf numFmtId="3" fontId="4" fillId="0" borderId="169" xfId="1" applyNumberFormat="1" applyFont="1" applyBorder="1" applyAlignment="1" applyProtection="1">
      <alignment horizontal="center" vertical="center" wrapText="1"/>
      <protection locked="0"/>
    </xf>
    <xf numFmtId="164" fontId="6" fillId="3" borderId="169" xfId="1" applyNumberFormat="1" applyFont="1" applyFill="1" applyBorder="1" applyAlignment="1">
      <alignment horizontal="center" vertical="center" wrapText="1"/>
    </xf>
    <xf numFmtId="0" fontId="4" fillId="0" borderId="170" xfId="1" applyFont="1" applyBorder="1" applyAlignment="1">
      <alignment vertical="center"/>
    </xf>
    <xf numFmtId="3" fontId="3" fillId="2" borderId="171" xfId="1" applyNumberFormat="1" applyFont="1" applyFill="1" applyBorder="1" applyAlignment="1">
      <alignment horizontal="center" vertical="center" wrapText="1"/>
    </xf>
    <xf numFmtId="3" fontId="4" fillId="0" borderId="171" xfId="1" applyNumberFormat="1" applyFont="1" applyBorder="1" applyAlignment="1" applyProtection="1">
      <alignment horizontal="center" vertical="center" wrapText="1"/>
      <protection locked="0"/>
    </xf>
    <xf numFmtId="164" fontId="6" fillId="3" borderId="171" xfId="1" applyNumberFormat="1" applyFont="1" applyFill="1" applyBorder="1" applyAlignment="1">
      <alignment horizontal="center" vertical="center" wrapText="1"/>
    </xf>
    <xf numFmtId="3" fontId="3" fillId="2" borderId="172" xfId="1" applyNumberFormat="1" applyFont="1" applyFill="1" applyBorder="1" applyAlignment="1">
      <alignment horizontal="center" vertical="center" wrapText="1"/>
    </xf>
    <xf numFmtId="3" fontId="4" fillId="0" borderId="172" xfId="1" applyNumberFormat="1" applyFont="1" applyBorder="1" applyAlignment="1" applyProtection="1">
      <alignment horizontal="center" vertical="center" wrapText="1"/>
      <protection locked="0"/>
    </xf>
    <xf numFmtId="3" fontId="4" fillId="0" borderId="173" xfId="1" applyNumberFormat="1" applyFont="1" applyBorder="1" applyAlignment="1" applyProtection="1">
      <alignment horizontal="center" vertical="center" wrapText="1"/>
      <protection locked="0"/>
    </xf>
    <xf numFmtId="0" fontId="3" fillId="8" borderId="174" xfId="1" applyFont="1" applyFill="1" applyBorder="1" applyAlignment="1">
      <alignment horizontal="center" vertical="center"/>
    </xf>
    <xf numFmtId="0" fontId="3" fillId="2" borderId="175" xfId="1" applyFont="1" applyFill="1" applyBorder="1" applyAlignment="1">
      <alignment horizontal="center" vertical="center" wrapText="1"/>
    </xf>
    <xf numFmtId="0" fontId="4" fillId="0" borderId="176" xfId="1" applyFont="1" applyBorder="1" applyAlignment="1">
      <alignment vertical="center"/>
    </xf>
    <xf numFmtId="3" fontId="3" fillId="2" borderId="177" xfId="1" applyNumberFormat="1" applyFont="1" applyFill="1" applyBorder="1" applyAlignment="1">
      <alignment horizontal="center" vertical="center" wrapText="1"/>
    </xf>
    <xf numFmtId="3" fontId="4" fillId="0" borderId="177" xfId="1" applyNumberFormat="1" applyFont="1" applyBorder="1" applyAlignment="1" applyProtection="1">
      <alignment horizontal="center" vertical="center" wrapText="1"/>
      <protection locked="0"/>
    </xf>
    <xf numFmtId="0" fontId="4" fillId="0" borderId="178" xfId="1" applyFont="1" applyBorder="1" applyAlignment="1">
      <alignment vertical="center"/>
    </xf>
    <xf numFmtId="3" fontId="3" fillId="2" borderId="179" xfId="1" applyNumberFormat="1" applyFont="1" applyFill="1" applyBorder="1" applyAlignment="1">
      <alignment horizontal="center" vertical="center" wrapText="1"/>
    </xf>
    <xf numFmtId="3" fontId="4" fillId="0" borderId="179" xfId="1" applyNumberFormat="1" applyFont="1" applyBorder="1" applyAlignment="1" applyProtection="1">
      <alignment horizontal="center" vertical="center" wrapText="1"/>
      <protection locked="0"/>
    </xf>
    <xf numFmtId="0" fontId="4" fillId="0" borderId="180" xfId="1" applyFont="1" applyBorder="1" applyAlignment="1">
      <alignment vertical="center"/>
    </xf>
    <xf numFmtId="3" fontId="3" fillId="2" borderId="181" xfId="1" applyNumberFormat="1" applyFont="1" applyFill="1" applyBorder="1" applyAlignment="1">
      <alignment horizontal="center" vertical="center" wrapText="1"/>
    </xf>
    <xf numFmtId="3" fontId="4" fillId="0" borderId="181" xfId="1" applyNumberFormat="1" applyFont="1" applyBorder="1" applyAlignment="1" applyProtection="1">
      <alignment horizontal="center" vertical="center" wrapText="1"/>
      <protection locked="0"/>
    </xf>
    <xf numFmtId="164" fontId="6" fillId="3" borderId="181" xfId="1" applyNumberFormat="1" applyFont="1" applyFill="1" applyBorder="1" applyAlignment="1">
      <alignment horizontal="center" vertical="center" wrapText="1"/>
    </xf>
    <xf numFmtId="0" fontId="3" fillId="8" borderId="182" xfId="1" applyFont="1" applyFill="1" applyBorder="1" applyAlignment="1">
      <alignment horizontal="center" vertical="center"/>
    </xf>
    <xf numFmtId="0" fontId="3" fillId="2" borderId="183" xfId="1" applyFont="1" applyFill="1" applyBorder="1" applyAlignment="1">
      <alignment horizontal="center" vertical="center" wrapText="1"/>
    </xf>
    <xf numFmtId="0" fontId="4" fillId="0" borderId="184" xfId="1" applyFont="1" applyBorder="1" applyAlignment="1">
      <alignment vertical="center"/>
    </xf>
    <xf numFmtId="3" fontId="4" fillId="2" borderId="185" xfId="1" applyNumberFormat="1" applyFont="1" applyFill="1" applyBorder="1" applyAlignment="1">
      <alignment horizontal="center" vertical="center" wrapText="1"/>
    </xf>
    <xf numFmtId="3" fontId="4" fillId="0" borderId="185" xfId="1" applyNumberFormat="1" applyFont="1" applyBorder="1" applyAlignment="1" applyProtection="1">
      <alignment horizontal="center" vertical="center" wrapText="1"/>
      <protection locked="0"/>
    </xf>
    <xf numFmtId="0" fontId="4" fillId="0" borderId="186" xfId="1" applyFont="1" applyBorder="1" applyAlignment="1">
      <alignment vertical="center"/>
    </xf>
    <xf numFmtId="3" fontId="4" fillId="2" borderId="187" xfId="1" applyNumberFormat="1" applyFont="1" applyFill="1" applyBorder="1" applyAlignment="1">
      <alignment horizontal="center" vertical="center" wrapText="1"/>
    </xf>
    <xf numFmtId="3" fontId="4" fillId="0" borderId="187" xfId="1" applyNumberFormat="1" applyFont="1" applyBorder="1" applyAlignment="1" applyProtection="1">
      <alignment horizontal="center" vertical="center" wrapText="1"/>
      <protection locked="0"/>
    </xf>
    <xf numFmtId="0" fontId="4" fillId="0" borderId="188" xfId="1" applyFont="1" applyBorder="1" applyAlignment="1">
      <alignment vertical="center"/>
    </xf>
    <xf numFmtId="3" fontId="4" fillId="2" borderId="189" xfId="1" applyNumberFormat="1" applyFont="1" applyFill="1" applyBorder="1" applyAlignment="1">
      <alignment horizontal="center" vertical="center" wrapText="1"/>
    </xf>
    <xf numFmtId="3" fontId="4" fillId="0" borderId="189" xfId="1" applyNumberFormat="1" applyFont="1" applyBorder="1" applyAlignment="1" applyProtection="1">
      <alignment horizontal="center" vertical="center" wrapText="1"/>
      <protection locked="0"/>
    </xf>
    <xf numFmtId="164" fontId="8" fillId="3" borderId="189" xfId="1" applyNumberFormat="1" applyFont="1" applyFill="1" applyBorder="1" applyAlignment="1">
      <alignment horizontal="center" vertical="center" wrapText="1"/>
    </xf>
    <xf numFmtId="164" fontId="8" fillId="3" borderId="46" xfId="1" applyNumberFormat="1" applyFont="1" applyFill="1" applyBorder="1" applyAlignment="1">
      <alignment horizontal="center" vertical="center" wrapText="1"/>
    </xf>
    <xf numFmtId="0" fontId="3" fillId="8" borderId="190" xfId="1" applyFont="1" applyFill="1" applyBorder="1" applyAlignment="1">
      <alignment horizontal="center" vertical="center"/>
    </xf>
    <xf numFmtId="0" fontId="3" fillId="2" borderId="191" xfId="1" applyFont="1" applyFill="1" applyBorder="1" applyAlignment="1">
      <alignment horizontal="center" vertical="center" wrapText="1"/>
    </xf>
    <xf numFmtId="0" fontId="3" fillId="8" borderId="191" xfId="1" applyFont="1" applyFill="1" applyBorder="1" applyAlignment="1">
      <alignment horizontal="center" vertical="center"/>
    </xf>
    <xf numFmtId="0" fontId="3" fillId="10" borderId="191" xfId="1" applyFont="1" applyFill="1" applyBorder="1" applyAlignment="1">
      <alignment horizontal="center" vertical="center"/>
    </xf>
    <xf numFmtId="164" fontId="8" fillId="9" borderId="189" xfId="1" applyNumberFormat="1" applyFont="1" applyFill="1" applyBorder="1" applyAlignment="1">
      <alignment horizontal="center" vertical="center" wrapText="1"/>
    </xf>
    <xf numFmtId="164" fontId="6" fillId="9" borderId="46" xfId="1" applyNumberFormat="1" applyFont="1" applyFill="1" applyBorder="1" applyAlignment="1">
      <alignment horizontal="center" vertical="center" wrapText="1"/>
    </xf>
    <xf numFmtId="165" fontId="10" fillId="12" borderId="196" xfId="4" applyNumberFormat="1" applyFill="1" applyBorder="1" applyAlignment="1">
      <alignment horizontal="left" vertical="center"/>
    </xf>
    <xf numFmtId="165" fontId="10" fillId="11" borderId="196" xfId="4" applyNumberFormat="1" applyFill="1" applyBorder="1" applyAlignment="1">
      <alignment horizontal="left" vertical="center"/>
    </xf>
    <xf numFmtId="165" fontId="12" fillId="12" borderId="198" xfId="4" applyNumberFormat="1" applyFont="1" applyFill="1" applyBorder="1" applyAlignment="1">
      <alignment horizontal="left" vertical="center"/>
    </xf>
    <xf numFmtId="164" fontId="6" fillId="3" borderId="6" xfId="1" applyNumberFormat="1" applyFont="1" applyFill="1" applyBorder="1" applyAlignment="1">
      <alignment horizontal="center" vertical="center" wrapText="1"/>
    </xf>
    <xf numFmtId="0" fontId="24" fillId="0" borderId="199" xfId="4" applyFont="1" applyBorder="1" applyAlignment="1">
      <alignment vertical="center"/>
    </xf>
    <xf numFmtId="17" fontId="24" fillId="0" borderId="200" xfId="4" applyNumberFormat="1" applyFont="1" applyBorder="1" applyAlignment="1">
      <alignment horizontal="center" vertical="center" wrapText="1"/>
    </xf>
    <xf numFmtId="17" fontId="24" fillId="0" borderId="200" xfId="4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5" fillId="0" borderId="200" xfId="4" applyFont="1" applyBorder="1" applyAlignment="1">
      <alignment horizontal="left" vertical="center" wrapText="1"/>
    </xf>
    <xf numFmtId="0" fontId="25" fillId="4" borderId="200" xfId="4" applyFont="1" applyFill="1" applyBorder="1" applyAlignment="1">
      <alignment horizontal="left" vertical="center"/>
    </xf>
    <xf numFmtId="165" fontId="25" fillId="4" borderId="200" xfId="4" applyNumberFormat="1" applyFont="1" applyFill="1" applyBorder="1" applyAlignment="1">
      <alignment horizontal="left" vertical="center"/>
    </xf>
    <xf numFmtId="3" fontId="25" fillId="0" borderId="200" xfId="0" applyNumberFormat="1" applyFont="1" applyBorder="1" applyAlignment="1">
      <alignment horizontal="center" vertical="center"/>
    </xf>
    <xf numFmtId="0" fontId="25" fillId="0" borderId="200" xfId="0" applyFont="1" applyBorder="1" applyAlignment="1">
      <alignment horizontal="center" vertical="center"/>
    </xf>
    <xf numFmtId="0" fontId="25" fillId="0" borderId="200" xfId="4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25" fillId="4" borderId="200" xfId="0" applyFont="1" applyFill="1" applyBorder="1" applyAlignment="1">
      <alignment horizontal="center" vertical="center"/>
    </xf>
    <xf numFmtId="165" fontId="25" fillId="4" borderId="200" xfId="5" applyNumberFormat="1" applyFont="1" applyFill="1" applyBorder="1" applyAlignment="1">
      <alignment horizontal="left" vertical="center"/>
    </xf>
    <xf numFmtId="0" fontId="25" fillId="4" borderId="200" xfId="0" applyFont="1" applyFill="1" applyBorder="1"/>
    <xf numFmtId="0" fontId="25" fillId="0" borderId="0" xfId="0" applyFont="1" applyAlignment="1">
      <alignment horizontal="center" vertical="center"/>
    </xf>
    <xf numFmtId="165" fontId="25" fillId="4" borderId="199" xfId="4" applyNumberFormat="1" applyFont="1" applyFill="1" applyBorder="1" applyAlignment="1">
      <alignment horizontal="left" vertical="center"/>
    </xf>
    <xf numFmtId="0" fontId="25" fillId="4" borderId="199" xfId="4" applyFont="1" applyFill="1" applyBorder="1" applyAlignment="1">
      <alignment horizontal="left" vertical="center"/>
    </xf>
    <xf numFmtId="0" fontId="25" fillId="0" borderId="199" xfId="0" applyFont="1" applyBorder="1" applyAlignment="1">
      <alignment horizontal="center" vertical="center"/>
    </xf>
    <xf numFmtId="0" fontId="25" fillId="4" borderId="199" xfId="0" applyFont="1" applyFill="1" applyBorder="1"/>
    <xf numFmtId="0" fontId="24" fillId="0" borderId="200" xfId="4" applyFont="1" applyBorder="1" applyAlignment="1">
      <alignment horizontal="left" vertical="center" wrapText="1"/>
    </xf>
    <xf numFmtId="0" fontId="24" fillId="0" borderId="200" xfId="4" applyFont="1" applyFill="1" applyBorder="1" applyAlignment="1">
      <alignment horizontal="left" vertical="center"/>
    </xf>
    <xf numFmtId="165" fontId="24" fillId="0" borderId="200" xfId="4" applyNumberFormat="1" applyFont="1" applyFill="1" applyBorder="1" applyAlignment="1">
      <alignment horizontal="left" vertical="center"/>
    </xf>
    <xf numFmtId="4" fontId="0" fillId="0" borderId="0" xfId="0" applyNumberFormat="1"/>
    <xf numFmtId="0" fontId="0" fillId="0" borderId="201" xfId="0" applyBorder="1"/>
    <xf numFmtId="4" fontId="0" fillId="0" borderId="202" xfId="0" applyNumberFormat="1" applyBorder="1"/>
    <xf numFmtId="0" fontId="0" fillId="0" borderId="203" xfId="0" applyBorder="1"/>
    <xf numFmtId="4" fontId="20" fillId="0" borderId="204" xfId="0" applyNumberFormat="1" applyFont="1" applyBorder="1"/>
    <xf numFmtId="4" fontId="0" fillId="0" borderId="204" xfId="0" applyNumberFormat="1" applyBorder="1"/>
    <xf numFmtId="0" fontId="0" fillId="0" borderId="205" xfId="0" applyBorder="1"/>
    <xf numFmtId="4" fontId="0" fillId="0" borderId="206" xfId="0" applyNumberFormat="1" applyBorder="1"/>
    <xf numFmtId="0" fontId="0" fillId="0" borderId="0" xfId="0" applyBorder="1"/>
    <xf numFmtId="4" fontId="0" fillId="0" borderId="0" xfId="0" applyNumberFormat="1" applyBorder="1"/>
    <xf numFmtId="0" fontId="19" fillId="0" borderId="0" xfId="0" applyFont="1" applyFill="1" applyBorder="1"/>
    <xf numFmtId="0" fontId="24" fillId="0" borderId="207" xfId="4" applyFont="1" applyBorder="1" applyAlignment="1">
      <alignment vertical="center"/>
    </xf>
    <xf numFmtId="17" fontId="24" fillId="0" borderId="21" xfId="4" applyNumberFormat="1" applyFont="1" applyBorder="1" applyAlignment="1">
      <alignment horizontal="center" vertical="center"/>
    </xf>
    <xf numFmtId="17" fontId="24" fillId="0" borderId="21" xfId="4" applyNumberFormat="1" applyFont="1" applyBorder="1" applyAlignment="1">
      <alignment horizontal="center" vertical="center" wrapText="1"/>
    </xf>
    <xf numFmtId="17" fontId="24" fillId="0" borderId="22" xfId="4" applyNumberFormat="1" applyFont="1" applyBorder="1" applyAlignment="1">
      <alignment horizontal="center" vertical="center"/>
    </xf>
    <xf numFmtId="0" fontId="25" fillId="0" borderId="192" xfId="4" applyFont="1" applyBorder="1" applyAlignment="1">
      <alignment horizontal="left" vertical="center" wrapText="1"/>
    </xf>
    <xf numFmtId="3" fontId="25" fillId="0" borderId="200" xfId="4" applyNumberFormat="1" applyFont="1" applyFill="1" applyBorder="1" applyAlignment="1">
      <alignment horizontal="center" vertical="center"/>
    </xf>
    <xf numFmtId="9" fontId="0" fillId="0" borderId="196" xfId="0" applyNumberForma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0" fontId="0" fillId="0" borderId="196" xfId="0" applyBorder="1" applyAlignment="1">
      <alignment horizontal="center" vertical="center" wrapText="1"/>
    </xf>
    <xf numFmtId="0" fontId="24" fillId="0" borderId="197" xfId="4" applyFont="1" applyBorder="1" applyAlignment="1">
      <alignment horizontal="left" vertical="center" wrapText="1"/>
    </xf>
    <xf numFmtId="3" fontId="25" fillId="0" borderId="194" xfId="4" applyNumberFormat="1" applyFont="1" applyFill="1" applyBorder="1" applyAlignment="1">
      <alignment horizontal="center" vertical="center"/>
    </xf>
    <xf numFmtId="0" fontId="0" fillId="0" borderId="198" xfId="0" applyBorder="1" applyAlignment="1">
      <alignment horizontal="center" vertical="center"/>
    </xf>
    <xf numFmtId="0" fontId="0" fillId="0" borderId="198" xfId="0" applyBorder="1" applyAlignment="1">
      <alignment horizontal="center"/>
    </xf>
    <xf numFmtId="0" fontId="0" fillId="0" borderId="20" xfId="0" applyBorder="1"/>
    <xf numFmtId="10" fontId="0" fillId="0" borderId="44" xfId="0" applyNumberFormat="1" applyBorder="1"/>
    <xf numFmtId="4" fontId="0" fillId="0" borderId="21" xfId="0" applyNumberFormat="1" applyBorder="1"/>
    <xf numFmtId="9" fontId="0" fillId="0" borderId="21" xfId="0" applyNumberFormat="1" applyBorder="1"/>
    <xf numFmtId="4" fontId="0" fillId="0" borderId="22" xfId="0" applyNumberFormat="1" applyBorder="1"/>
    <xf numFmtId="0" fontId="0" fillId="0" borderId="192" xfId="0" applyBorder="1"/>
    <xf numFmtId="10" fontId="0" fillId="0" borderId="209" xfId="0" applyNumberFormat="1" applyBorder="1"/>
    <xf numFmtId="4" fontId="0" fillId="0" borderId="200" xfId="0" applyNumberFormat="1" applyBorder="1"/>
    <xf numFmtId="9" fontId="0" fillId="0" borderId="200" xfId="0" applyNumberFormat="1" applyBorder="1"/>
    <xf numFmtId="4" fontId="0" fillId="0" borderId="196" xfId="0" applyNumberFormat="1" applyBorder="1"/>
    <xf numFmtId="0" fontId="0" fillId="0" borderId="197" xfId="0" applyBorder="1"/>
    <xf numFmtId="10" fontId="0" fillId="0" borderId="210" xfId="0" applyNumberFormat="1" applyBorder="1"/>
    <xf numFmtId="0" fontId="0" fillId="0" borderId="195" xfId="0" applyBorder="1"/>
    <xf numFmtId="10" fontId="0" fillId="0" borderId="211" xfId="0" applyNumberFormat="1" applyBorder="1"/>
    <xf numFmtId="4" fontId="0" fillId="0" borderId="194" xfId="0" applyNumberFormat="1" applyBorder="1"/>
    <xf numFmtId="9" fontId="0" fillId="0" borderId="194" xfId="0" applyNumberFormat="1" applyBorder="1"/>
    <xf numFmtId="4" fontId="0" fillId="0" borderId="198" xfId="0" applyNumberFormat="1" applyBorder="1"/>
    <xf numFmtId="4" fontId="20" fillId="0" borderId="7" xfId="0" applyNumberFormat="1" applyFont="1" applyBorder="1"/>
    <xf numFmtId="4" fontId="20" fillId="0" borderId="0" xfId="0" applyNumberFormat="1" applyFont="1" applyBorder="1"/>
    <xf numFmtId="4" fontId="25" fillId="0" borderId="0" xfId="0" applyNumberFormat="1" applyFont="1" applyAlignment="1">
      <alignment horizontal="center"/>
    </xf>
    <xf numFmtId="4" fontId="20" fillId="0" borderId="0" xfId="0" applyNumberFormat="1" applyFont="1"/>
    <xf numFmtId="0" fontId="0" fillId="16" borderId="200" xfId="0" applyFont="1" applyFill="1" applyBorder="1" applyAlignment="1">
      <alignment horizontal="left" vertical="center" wrapText="1"/>
    </xf>
    <xf numFmtId="0" fontId="0" fillId="0" borderId="200" xfId="0" applyFont="1" applyBorder="1" applyAlignment="1">
      <alignment vertical="center" wrapText="1"/>
    </xf>
    <xf numFmtId="0" fontId="10" fillId="0" borderId="212" xfId="4" applyBorder="1" applyAlignment="1">
      <alignment horizontal="left" vertical="center" wrapText="1"/>
    </xf>
    <xf numFmtId="0" fontId="10" fillId="0" borderId="214" xfId="4" applyBorder="1" applyAlignment="1">
      <alignment horizontal="left" vertical="center" wrapText="1"/>
    </xf>
    <xf numFmtId="0" fontId="12" fillId="0" borderId="215" xfId="4" applyFont="1" applyBorder="1" applyAlignment="1">
      <alignment horizontal="left" vertical="center" wrapText="1"/>
    </xf>
    <xf numFmtId="0" fontId="10" fillId="11" borderId="50" xfId="4" applyFill="1" applyBorder="1" applyAlignment="1">
      <alignment horizontal="left" vertical="center"/>
    </xf>
    <xf numFmtId="165" fontId="10" fillId="11" borderId="216" xfId="4" applyNumberFormat="1" applyFill="1" applyBorder="1" applyAlignment="1">
      <alignment horizontal="left" vertical="center"/>
    </xf>
    <xf numFmtId="0" fontId="10" fillId="11" borderId="192" xfId="4" applyFill="1" applyBorder="1" applyAlignment="1">
      <alignment horizontal="left" vertical="center"/>
    </xf>
    <xf numFmtId="0" fontId="12" fillId="11" borderId="197" xfId="4" applyFont="1" applyFill="1" applyBorder="1" applyAlignment="1">
      <alignment horizontal="left" vertical="center"/>
    </xf>
    <xf numFmtId="165" fontId="12" fillId="11" borderId="198" xfId="4" applyNumberFormat="1" applyFont="1" applyFill="1" applyBorder="1" applyAlignment="1">
      <alignment horizontal="left" vertical="center"/>
    </xf>
    <xf numFmtId="0" fontId="10" fillId="0" borderId="50" xfId="4" applyFill="1" applyBorder="1" applyAlignment="1">
      <alignment horizontal="left" vertical="center"/>
    </xf>
    <xf numFmtId="165" fontId="0" fillId="12" borderId="216" xfId="5" applyNumberFormat="1" applyFont="1" applyFill="1" applyBorder="1" applyAlignment="1">
      <alignment horizontal="left" vertical="center"/>
    </xf>
    <xf numFmtId="0" fontId="10" fillId="0" borderId="192" xfId="4" applyFill="1" applyBorder="1" applyAlignment="1">
      <alignment horizontal="left" vertical="center"/>
    </xf>
    <xf numFmtId="165" fontId="0" fillId="12" borderId="196" xfId="5" applyNumberFormat="1" applyFont="1" applyFill="1" applyBorder="1" applyAlignment="1">
      <alignment horizontal="left" vertical="center"/>
    </xf>
    <xf numFmtId="165" fontId="0" fillId="11" borderId="196" xfId="5" applyNumberFormat="1" applyFont="1" applyFill="1" applyBorder="1" applyAlignment="1">
      <alignment horizontal="left" vertical="center"/>
    </xf>
    <xf numFmtId="165" fontId="12" fillId="12" borderId="198" xfId="5" applyNumberFormat="1" applyFont="1" applyFill="1" applyBorder="1" applyAlignment="1">
      <alignment horizontal="left" vertical="center"/>
    </xf>
    <xf numFmtId="165" fontId="10" fillId="12" borderId="216" xfId="4" applyNumberFormat="1" applyFill="1" applyBorder="1" applyAlignment="1">
      <alignment horizontal="left" vertical="center"/>
    </xf>
    <xf numFmtId="0" fontId="12" fillId="0" borderId="36" xfId="4" applyFont="1" applyBorder="1" applyAlignment="1">
      <alignment horizontal="center" vertical="center" wrapText="1"/>
    </xf>
    <xf numFmtId="0" fontId="12" fillId="0" borderId="37" xfId="4" applyFont="1" applyBorder="1" applyAlignment="1">
      <alignment horizontal="center" vertical="center"/>
    </xf>
    <xf numFmtId="0" fontId="10" fillId="14" borderId="192" xfId="4" applyFill="1" applyBorder="1" applyAlignment="1">
      <alignment horizontal="left" vertical="center"/>
    </xf>
    <xf numFmtId="165" fontId="0" fillId="11" borderId="216" xfId="5" applyNumberFormat="1" applyFont="1" applyFill="1" applyBorder="1" applyAlignment="1">
      <alignment horizontal="left" vertical="center"/>
    </xf>
    <xf numFmtId="0" fontId="10" fillId="14" borderId="50" xfId="4" applyFill="1" applyBorder="1" applyAlignment="1">
      <alignment horizontal="left" vertical="center"/>
    </xf>
    <xf numFmtId="164" fontId="6" fillId="7" borderId="223" xfId="1" applyNumberFormat="1" applyFont="1" applyFill="1" applyBorder="1" applyAlignment="1">
      <alignment horizontal="center" vertical="center" wrapText="1"/>
    </xf>
    <xf numFmtId="164" fontId="6" fillId="3" borderId="13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164" fontId="6" fillId="3" borderId="55" xfId="1" applyNumberFormat="1" applyFont="1" applyFill="1" applyBorder="1" applyAlignment="1">
      <alignment horizontal="center" vertical="center" wrapText="1"/>
    </xf>
    <xf numFmtId="3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6" xfId="1" applyNumberFormat="1" applyFont="1" applyFill="1" applyBorder="1" applyAlignment="1">
      <alignment horizontal="center" vertical="center" wrapText="1"/>
    </xf>
    <xf numFmtId="164" fontId="6" fillId="7" borderId="55" xfId="1" applyNumberFormat="1" applyFont="1" applyFill="1" applyBorder="1" applyAlignment="1">
      <alignment horizontal="center" vertical="center" wrapText="1"/>
    </xf>
    <xf numFmtId="17" fontId="22" fillId="0" borderId="200" xfId="0" applyNumberFormat="1" applyFont="1" applyBorder="1" applyAlignment="1">
      <alignment horizontal="center" vertical="center" wrapText="1"/>
    </xf>
    <xf numFmtId="17" fontId="22" fillId="4" borderId="200" xfId="0" applyNumberFormat="1" applyFont="1" applyFill="1" applyBorder="1" applyAlignment="1">
      <alignment horizontal="center" vertical="center" wrapText="1"/>
    </xf>
    <xf numFmtId="0" fontId="0" fillId="16" borderId="200" xfId="0" applyFont="1" applyFill="1" applyBorder="1" applyAlignment="1">
      <alignment vertical="center" wrapText="1"/>
    </xf>
    <xf numFmtId="164" fontId="8" fillId="3" borderId="200" xfId="1" applyNumberFormat="1" applyFont="1" applyFill="1" applyBorder="1" applyAlignment="1">
      <alignment horizontal="center" vertical="center" wrapText="1"/>
    </xf>
    <xf numFmtId="164" fontId="8" fillId="7" borderId="200" xfId="1" applyNumberFormat="1" applyFont="1" applyFill="1" applyBorder="1" applyAlignment="1">
      <alignment horizontal="center" vertical="center" wrapText="1"/>
    </xf>
    <xf numFmtId="0" fontId="0" fillId="4" borderId="200" xfId="0" applyFont="1" applyFill="1" applyBorder="1" applyAlignment="1">
      <alignment horizontal="left" vertical="center" wrapText="1"/>
    </xf>
    <xf numFmtId="0" fontId="0" fillId="0" borderId="200" xfId="0" applyBorder="1" applyAlignment="1">
      <alignment vertical="center" wrapText="1"/>
    </xf>
    <xf numFmtId="0" fontId="4" fillId="14" borderId="212" xfId="1" applyFont="1" applyFill="1" applyBorder="1" applyAlignment="1">
      <alignment vertical="center"/>
    </xf>
    <xf numFmtId="0" fontId="4" fillId="14" borderId="214" xfId="1" applyFont="1" applyFill="1" applyBorder="1" applyAlignment="1">
      <alignment vertical="center"/>
    </xf>
    <xf numFmtId="0" fontId="4" fillId="14" borderId="215" xfId="1" applyFont="1" applyFill="1" applyBorder="1" applyAlignment="1">
      <alignment vertical="center"/>
    </xf>
    <xf numFmtId="0" fontId="4" fillId="0" borderId="214" xfId="1" applyFont="1" applyBorder="1" applyAlignment="1">
      <alignment vertical="center"/>
    </xf>
    <xf numFmtId="0" fontId="4" fillId="0" borderId="215" xfId="1" applyFont="1" applyBorder="1" applyAlignment="1">
      <alignment vertical="center"/>
    </xf>
    <xf numFmtId="0" fontId="4" fillId="0" borderId="214" xfId="1" applyFont="1" applyBorder="1" applyAlignment="1">
      <alignment vertical="center" wrapText="1"/>
    </xf>
    <xf numFmtId="0" fontId="4" fillId="4" borderId="215" xfId="1" applyFont="1" applyFill="1" applyBorder="1" applyAlignment="1">
      <alignment vertical="center" wrapText="1"/>
    </xf>
    <xf numFmtId="0" fontId="4" fillId="8" borderId="214" xfId="1" applyFont="1" applyFill="1" applyBorder="1" applyAlignment="1">
      <alignment horizontal="left" vertical="center"/>
    </xf>
    <xf numFmtId="17" fontId="22" fillId="0" borderId="18" xfId="0" applyNumberFormat="1" applyFont="1" applyBorder="1" applyAlignment="1">
      <alignment horizontal="center" vertical="center" wrapText="1"/>
    </xf>
    <xf numFmtId="164" fontId="6" fillId="7" borderId="5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200" xfId="0" applyBorder="1" applyAlignment="1">
      <alignment horizontal="center"/>
    </xf>
    <xf numFmtId="3" fontId="4" fillId="0" borderId="238" xfId="1" applyNumberFormat="1" applyFont="1" applyBorder="1" applyAlignment="1" applyProtection="1">
      <alignment horizontal="center" vertical="center" wrapText="1"/>
      <protection locked="0"/>
    </xf>
    <xf numFmtId="166" fontId="4" fillId="0" borderId="172" xfId="1" applyNumberFormat="1" applyFont="1" applyBorder="1" applyAlignment="1" applyProtection="1">
      <alignment horizontal="center" vertical="center" wrapText="1"/>
      <protection locked="0"/>
    </xf>
    <xf numFmtId="164" fontId="6" fillId="3" borderId="238" xfId="1" applyNumberFormat="1" applyFont="1" applyFill="1" applyBorder="1" applyAlignment="1">
      <alignment horizontal="center" vertical="center" wrapText="1"/>
    </xf>
    <xf numFmtId="3" fontId="4" fillId="0" borderId="239" xfId="1" applyNumberFormat="1" applyFont="1" applyBorder="1" applyAlignment="1" applyProtection="1">
      <alignment horizontal="center" vertical="center" wrapText="1"/>
      <protection locked="0"/>
    </xf>
    <xf numFmtId="0" fontId="4" fillId="8" borderId="240" xfId="1" applyFont="1" applyFill="1" applyBorder="1" applyAlignment="1">
      <alignment horizontal="center" vertical="center"/>
    </xf>
    <xf numFmtId="0" fontId="4" fillId="8" borderId="56" xfId="1" applyFont="1" applyFill="1" applyBorder="1" applyAlignment="1">
      <alignment horizontal="center" vertical="center"/>
    </xf>
    <xf numFmtId="3" fontId="4" fillId="0" borderId="240" xfId="1" applyNumberFormat="1" applyFont="1" applyBorder="1" applyAlignment="1" applyProtection="1">
      <alignment horizontal="center" vertical="center" wrapText="1"/>
      <protection locked="0"/>
    </xf>
    <xf numFmtId="0" fontId="4" fillId="0" borderId="238" xfId="1" applyFont="1" applyBorder="1" applyAlignment="1">
      <alignment vertical="center"/>
    </xf>
    <xf numFmtId="0" fontId="4" fillId="0" borderId="172" xfId="1" applyFont="1" applyFill="1" applyBorder="1" applyAlignment="1">
      <alignment vertical="center"/>
    </xf>
    <xf numFmtId="0" fontId="4" fillId="0" borderId="172" xfId="1" applyFont="1" applyBorder="1" applyAlignment="1">
      <alignment vertical="center"/>
    </xf>
    <xf numFmtId="0" fontId="4" fillId="0" borderId="239" xfId="1" applyFont="1" applyBorder="1" applyAlignment="1">
      <alignment vertical="center"/>
    </xf>
    <xf numFmtId="3" fontId="3" fillId="2" borderId="238" xfId="1" applyNumberFormat="1" applyFont="1" applyFill="1" applyBorder="1" applyAlignment="1">
      <alignment horizontal="center" vertical="center" wrapText="1"/>
    </xf>
    <xf numFmtId="3" fontId="27" fillId="2" borderId="172" xfId="1" applyNumberFormat="1" applyFont="1" applyFill="1" applyBorder="1" applyAlignment="1">
      <alignment horizontal="center" vertical="center" wrapText="1"/>
    </xf>
    <xf numFmtId="3" fontId="3" fillId="2" borderId="239" xfId="1" applyNumberFormat="1" applyFont="1" applyFill="1" applyBorder="1" applyAlignment="1">
      <alignment horizontal="center" vertical="center" wrapText="1"/>
    </xf>
    <xf numFmtId="0" fontId="0" fillId="0" borderId="200" xfId="0" applyFont="1" applyBorder="1" applyAlignment="1">
      <alignment horizontal="center" vertical="center" wrapText="1"/>
    </xf>
    <xf numFmtId="3" fontId="0" fillId="0" borderId="200" xfId="0" applyNumberFormat="1" applyFont="1" applyBorder="1" applyAlignment="1">
      <alignment horizontal="center" vertical="center" wrapText="1"/>
    </xf>
    <xf numFmtId="0" fontId="0" fillId="0" borderId="200" xfId="0" applyFont="1" applyFill="1" applyBorder="1" applyAlignment="1">
      <alignment horizontal="center" vertical="center" wrapText="1"/>
    </xf>
    <xf numFmtId="3" fontId="0" fillId="0" borderId="200" xfId="0" applyNumberFormat="1" applyFont="1" applyFill="1" applyBorder="1" applyAlignment="1">
      <alignment horizontal="center" vertical="center" wrapText="1"/>
    </xf>
    <xf numFmtId="0" fontId="0" fillId="4" borderId="200" xfId="0" applyFont="1" applyFill="1" applyBorder="1" applyAlignment="1">
      <alignment horizontal="center" vertical="center" wrapText="1"/>
    </xf>
    <xf numFmtId="3" fontId="0" fillId="0" borderId="200" xfId="0" applyNumberFormat="1" applyFont="1" applyBorder="1" applyAlignment="1">
      <alignment horizontal="center"/>
    </xf>
    <xf numFmtId="0" fontId="0" fillId="0" borderId="200" xfId="0" applyFont="1" applyBorder="1" applyAlignment="1">
      <alignment horizontal="center"/>
    </xf>
    <xf numFmtId="0" fontId="0" fillId="4" borderId="200" xfId="0" applyFill="1" applyBorder="1" applyAlignment="1">
      <alignment horizontal="center"/>
    </xf>
    <xf numFmtId="3" fontId="19" fillId="4" borderId="200" xfId="0" applyNumberFormat="1" applyFont="1" applyFill="1" applyBorder="1" applyAlignment="1">
      <alignment horizontal="center" vertical="center" wrapText="1"/>
    </xf>
    <xf numFmtId="164" fontId="6" fillId="7" borderId="200" xfId="1" applyNumberFormat="1" applyFont="1" applyFill="1" applyBorder="1" applyAlignment="1">
      <alignment horizontal="center" vertical="center" wrapText="1"/>
    </xf>
    <xf numFmtId="0" fontId="19" fillId="4" borderId="200" xfId="0" applyFont="1" applyFill="1" applyBorder="1" applyAlignment="1">
      <alignment horizontal="center" vertical="center" wrapText="1"/>
    </xf>
    <xf numFmtId="3" fontId="19" fillId="4" borderId="200" xfId="0" applyNumberFormat="1" applyFont="1" applyFill="1" applyBorder="1" applyAlignment="1">
      <alignment horizontal="center"/>
    </xf>
    <xf numFmtId="0" fontId="19" fillId="4" borderId="20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9" fillId="0" borderId="30" xfId="0" applyNumberFormat="1" applyFont="1" applyBorder="1" applyAlignment="1">
      <alignment horizontal="center" vertical="center"/>
    </xf>
    <xf numFmtId="167" fontId="19" fillId="0" borderId="233" xfId="0" applyNumberFormat="1" applyFont="1" applyBorder="1" applyAlignment="1">
      <alignment horizontal="center" vertical="center"/>
    </xf>
    <xf numFmtId="3" fontId="0" fillId="0" borderId="233" xfId="0" applyNumberFormat="1" applyBorder="1" applyAlignment="1">
      <alignment horizontal="center" vertical="center"/>
    </xf>
    <xf numFmtId="167" fontId="19" fillId="0" borderId="234" xfId="0" applyNumberFormat="1" applyFont="1" applyBorder="1" applyAlignment="1">
      <alignment horizontal="center" vertical="center"/>
    </xf>
    <xf numFmtId="3" fontId="19" fillId="4" borderId="23" xfId="0" applyNumberFormat="1" applyFont="1" applyFill="1" applyBorder="1" applyAlignment="1">
      <alignment horizontal="center" vertical="center"/>
    </xf>
    <xf numFmtId="3" fontId="26" fillId="4" borderId="23" xfId="0" applyNumberFormat="1" applyFont="1" applyFill="1" applyBorder="1" applyAlignment="1">
      <alignment horizontal="center" vertical="center"/>
    </xf>
    <xf numFmtId="167" fontId="19" fillId="0" borderId="222" xfId="0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26" fillId="4" borderId="30" xfId="0" applyNumberFormat="1" applyFont="1" applyFill="1" applyBorder="1" applyAlignment="1">
      <alignment horizontal="center" vertical="center"/>
    </xf>
    <xf numFmtId="3" fontId="19" fillId="0" borderId="235" xfId="0" applyNumberFormat="1" applyFont="1" applyBorder="1" applyAlignment="1">
      <alignment horizontal="center" vertical="center"/>
    </xf>
    <xf numFmtId="167" fontId="19" fillId="0" borderId="200" xfId="0" applyNumberFormat="1" applyFont="1" applyBorder="1" applyAlignment="1">
      <alignment horizontal="center" vertical="center"/>
    </xf>
    <xf numFmtId="3" fontId="0" fillId="0" borderId="200" xfId="0" applyNumberFormat="1" applyBorder="1" applyAlignment="1">
      <alignment horizontal="center" vertical="center"/>
    </xf>
    <xf numFmtId="167" fontId="19" fillId="0" borderId="209" xfId="0" applyNumberFormat="1" applyFont="1" applyBorder="1" applyAlignment="1">
      <alignment horizontal="center" vertical="center"/>
    </xf>
    <xf numFmtId="3" fontId="19" fillId="4" borderId="192" xfId="0" applyNumberFormat="1" applyFont="1" applyFill="1" applyBorder="1" applyAlignment="1">
      <alignment horizontal="center" vertical="center"/>
    </xf>
    <xf numFmtId="3" fontId="26" fillId="4" borderId="192" xfId="0" applyNumberFormat="1" applyFont="1" applyFill="1" applyBorder="1" applyAlignment="1">
      <alignment horizontal="center" vertical="center"/>
    </xf>
    <xf numFmtId="3" fontId="26" fillId="4" borderId="235" xfId="0" applyNumberFormat="1" applyFont="1" applyFill="1" applyBorder="1" applyAlignment="1">
      <alignment horizontal="center" vertical="center"/>
    </xf>
    <xf numFmtId="3" fontId="19" fillId="0" borderId="236" xfId="0" applyNumberFormat="1" applyFont="1" applyBorder="1" applyAlignment="1">
      <alignment horizontal="center" vertical="center"/>
    </xf>
    <xf numFmtId="167" fontId="19" fillId="0" borderId="224" xfId="0" applyNumberFormat="1" applyFont="1" applyBorder="1" applyAlignment="1">
      <alignment horizontal="center" vertical="center"/>
    </xf>
    <xf numFmtId="3" fontId="0" fillId="0" borderId="224" xfId="0" applyNumberFormat="1" applyBorder="1" applyAlignment="1">
      <alignment horizontal="center" vertical="center"/>
    </xf>
    <xf numFmtId="167" fontId="19" fillId="0" borderId="237" xfId="0" applyNumberFormat="1" applyFont="1" applyBorder="1" applyAlignment="1">
      <alignment horizontal="center" vertical="center"/>
    </xf>
    <xf numFmtId="3" fontId="19" fillId="4" borderId="197" xfId="0" applyNumberFormat="1" applyFont="1" applyFill="1" applyBorder="1" applyAlignment="1">
      <alignment horizontal="center" vertical="center"/>
    </xf>
    <xf numFmtId="3" fontId="26" fillId="4" borderId="197" xfId="0" applyNumberFormat="1" applyFont="1" applyFill="1" applyBorder="1" applyAlignment="1">
      <alignment horizontal="center" vertical="center"/>
    </xf>
    <xf numFmtId="3" fontId="26" fillId="4" borderId="236" xfId="0" applyNumberFormat="1" applyFont="1" applyFill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167" fontId="19" fillId="0" borderId="34" xfId="0" applyNumberFormat="1" applyFont="1" applyBorder="1" applyAlignment="1">
      <alignment horizontal="center" vertical="center"/>
    </xf>
    <xf numFmtId="3" fontId="19" fillId="0" borderId="34" xfId="0" applyNumberFormat="1" applyFont="1" applyBorder="1" applyAlignment="1">
      <alignment horizontal="center" vertical="center"/>
    </xf>
    <xf numFmtId="167" fontId="19" fillId="0" borderId="35" xfId="0" applyNumberFormat="1" applyFont="1" applyBorder="1" applyAlignment="1">
      <alignment horizontal="center" vertical="center"/>
    </xf>
    <xf numFmtId="3" fontId="19" fillId="4" borderId="36" xfId="0" applyNumberFormat="1" applyFont="1" applyFill="1" applyBorder="1" applyAlignment="1">
      <alignment horizontal="center" vertical="center"/>
    </xf>
    <xf numFmtId="3" fontId="26" fillId="4" borderId="36" xfId="0" applyNumberFormat="1" applyFont="1" applyFill="1" applyBorder="1" applyAlignment="1">
      <alignment horizontal="center" vertical="center"/>
    </xf>
    <xf numFmtId="3" fontId="26" fillId="4" borderId="43" xfId="0" applyNumberFormat="1" applyFont="1" applyFill="1" applyBorder="1" applyAlignment="1">
      <alignment horizontal="center" vertical="center"/>
    </xf>
    <xf numFmtId="167" fontId="19" fillId="0" borderId="32" xfId="0" applyNumberFormat="1" applyFont="1" applyBorder="1" applyAlignment="1">
      <alignment horizontal="center" vertical="center"/>
    </xf>
    <xf numFmtId="167" fontId="19" fillId="0" borderId="7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167" fontId="19" fillId="0" borderId="18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3" fontId="19" fillId="4" borderId="24" xfId="0" applyNumberFormat="1" applyFont="1" applyFill="1" applyBorder="1" applyAlignment="1">
      <alignment horizontal="center" vertical="center"/>
    </xf>
    <xf numFmtId="3" fontId="26" fillId="4" borderId="24" xfId="0" applyNumberFormat="1" applyFont="1" applyFill="1" applyBorder="1" applyAlignment="1">
      <alignment horizontal="center" vertical="center"/>
    </xf>
    <xf numFmtId="3" fontId="26" fillId="4" borderId="31" xfId="0" applyNumberFormat="1" applyFont="1" applyFill="1" applyBorder="1" applyAlignment="1">
      <alignment horizontal="center" vertical="center"/>
    </xf>
    <xf numFmtId="3" fontId="19" fillId="4" borderId="236" xfId="0" applyNumberFormat="1" applyFont="1" applyFill="1" applyBorder="1" applyAlignment="1">
      <alignment horizontal="center" vertical="center"/>
    </xf>
    <xf numFmtId="167" fontId="19" fillId="4" borderId="224" xfId="0" applyNumberFormat="1" applyFont="1" applyFill="1" applyBorder="1" applyAlignment="1">
      <alignment horizontal="center" vertical="center"/>
    </xf>
    <xf numFmtId="3" fontId="0" fillId="4" borderId="224" xfId="0" applyNumberFormat="1" applyFill="1" applyBorder="1" applyAlignment="1">
      <alignment horizontal="center" vertical="center"/>
    </xf>
    <xf numFmtId="167" fontId="19" fillId="4" borderId="237" xfId="0" applyNumberFormat="1" applyFont="1" applyFill="1" applyBorder="1" applyAlignment="1">
      <alignment horizontal="center" vertical="center"/>
    </xf>
    <xf numFmtId="167" fontId="19" fillId="0" borderId="44" xfId="0" applyNumberFormat="1" applyFont="1" applyBorder="1" applyAlignment="1">
      <alignment horizontal="center" vertical="center"/>
    </xf>
    <xf numFmtId="0" fontId="19" fillId="0" borderId="235" xfId="0" applyFont="1" applyBorder="1" applyAlignment="1">
      <alignment horizontal="center" vertical="center"/>
    </xf>
    <xf numFmtId="0" fontId="0" fillId="0" borderId="200" xfId="0" applyBorder="1" applyAlignment="1">
      <alignment horizontal="center" vertical="center"/>
    </xf>
    <xf numFmtId="0" fontId="19" fillId="0" borderId="236" xfId="0" applyFont="1" applyBorder="1" applyAlignment="1">
      <alignment horizontal="center" vertical="center"/>
    </xf>
    <xf numFmtId="0" fontId="0" fillId="0" borderId="224" xfId="0" applyBorder="1" applyAlignment="1">
      <alignment horizontal="center" vertical="center"/>
    </xf>
    <xf numFmtId="3" fontId="19" fillId="0" borderId="19" xfId="0" applyNumberFormat="1" applyFont="1" applyBorder="1" applyAlignment="1">
      <alignment horizontal="center" vertical="center"/>
    </xf>
    <xf numFmtId="167" fontId="19" fillId="0" borderId="45" xfId="0" applyNumberFormat="1" applyFont="1" applyBorder="1" applyAlignment="1">
      <alignment horizontal="center" vertical="center"/>
    </xf>
    <xf numFmtId="3" fontId="19" fillId="0" borderId="45" xfId="0" applyNumberFormat="1" applyFont="1" applyBorder="1" applyAlignment="1">
      <alignment horizontal="center" vertical="center"/>
    </xf>
    <xf numFmtId="167" fontId="19" fillId="0" borderId="211" xfId="0" applyNumberFormat="1" applyFont="1" applyBorder="1" applyAlignment="1">
      <alignment horizontal="center" vertical="center"/>
    </xf>
    <xf numFmtId="3" fontId="19" fillId="4" borderId="195" xfId="0" applyNumberFormat="1" applyFont="1" applyFill="1" applyBorder="1" applyAlignment="1">
      <alignment horizontal="center" vertical="center"/>
    </xf>
    <xf numFmtId="3" fontId="26" fillId="4" borderId="195" xfId="0" applyNumberFormat="1" applyFont="1" applyFill="1" applyBorder="1" applyAlignment="1">
      <alignment horizontal="center" vertical="center"/>
    </xf>
    <xf numFmtId="3" fontId="26" fillId="4" borderId="1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18" borderId="214" xfId="1" applyFont="1" applyFill="1" applyBorder="1" applyAlignment="1">
      <alignment vertical="center"/>
    </xf>
    <xf numFmtId="0" fontId="1" fillId="0" borderId="0" xfId="1" applyAlignment="1">
      <alignment horizontal="center"/>
    </xf>
    <xf numFmtId="3" fontId="0" fillId="0" borderId="15" xfId="0" applyNumberFormat="1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3" fontId="0" fillId="0" borderId="15" xfId="0" applyNumberFormat="1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16" borderId="241" xfId="0" applyFont="1" applyFill="1" applyBorder="1" applyAlignment="1">
      <alignment horizontal="left" vertical="center" wrapText="1"/>
    </xf>
    <xf numFmtId="3" fontId="0" fillId="0" borderId="241" xfId="0" applyNumberFormat="1" applyFont="1" applyBorder="1" applyAlignment="1">
      <alignment horizontal="center" vertical="center" wrapText="1"/>
    </xf>
    <xf numFmtId="164" fontId="8" fillId="3" borderId="241" xfId="1" applyNumberFormat="1" applyFont="1" applyFill="1" applyBorder="1" applyAlignment="1">
      <alignment horizontal="center" vertical="center" wrapText="1"/>
    </xf>
    <xf numFmtId="164" fontId="8" fillId="7" borderId="241" xfId="1" applyNumberFormat="1" applyFont="1" applyFill="1" applyBorder="1" applyAlignment="1">
      <alignment horizontal="center" vertical="center" wrapText="1"/>
    </xf>
    <xf numFmtId="0" fontId="19" fillId="16" borderId="21" xfId="0" applyFont="1" applyFill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3" fontId="19" fillId="0" borderId="21" xfId="0" applyNumberFormat="1" applyFont="1" applyBorder="1" applyAlignment="1">
      <alignment horizontal="center" vertical="center" wrapText="1"/>
    </xf>
    <xf numFmtId="164" fontId="6" fillId="3" borderId="21" xfId="1" applyNumberFormat="1" applyFont="1" applyFill="1" applyBorder="1" applyAlignment="1">
      <alignment horizontal="center" vertical="center" wrapText="1"/>
    </xf>
    <xf numFmtId="164" fontId="6" fillId="7" borderId="21" xfId="1" applyNumberFormat="1" applyFont="1" applyFill="1" applyBorder="1" applyAlignment="1">
      <alignment horizontal="center" vertical="center" wrapText="1"/>
    </xf>
    <xf numFmtId="3" fontId="19" fillId="4" borderId="15" xfId="0" applyNumberFormat="1" applyFont="1" applyFill="1" applyBorder="1" applyAlignment="1">
      <alignment horizontal="center" vertical="center" wrapText="1"/>
    </xf>
    <xf numFmtId="3" fontId="19" fillId="4" borderId="241" xfId="0" applyNumberFormat="1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3" fontId="19" fillId="4" borderId="15" xfId="0" applyNumberFormat="1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0" fillId="0" borderId="0" xfId="0" applyAlignment="1">
      <alignment vertical="center"/>
    </xf>
    <xf numFmtId="3" fontId="0" fillId="0" borderId="15" xfId="0" applyNumberFormat="1" applyFont="1" applyBorder="1" applyAlignment="1">
      <alignment horizontal="center" vertical="center"/>
    </xf>
    <xf numFmtId="3" fontId="19" fillId="4" borderId="15" xfId="0" applyNumberFormat="1" applyFont="1" applyFill="1" applyBorder="1" applyAlignment="1">
      <alignment horizontal="center" vertical="center"/>
    </xf>
    <xf numFmtId="0" fontId="10" fillId="0" borderId="50" xfId="4" applyFill="1" applyBorder="1" applyAlignment="1">
      <alignment horizontal="center" vertical="center"/>
    </xf>
    <xf numFmtId="0" fontId="0" fillId="0" borderId="28" xfId="0" applyBorder="1" applyAlignment="1">
      <alignment wrapText="1"/>
    </xf>
    <xf numFmtId="0" fontId="0" fillId="0" borderId="196" xfId="0" applyBorder="1" applyAlignment="1">
      <alignment horizontal="center" wrapText="1"/>
    </xf>
    <xf numFmtId="0" fontId="3" fillId="8" borderId="191" xfId="1" applyFont="1" applyFill="1" applyBorder="1" applyAlignment="1">
      <alignment horizontal="center" vertical="center" wrapText="1"/>
    </xf>
    <xf numFmtId="0" fontId="3" fillId="10" borderId="191" xfId="1" applyFont="1" applyFill="1" applyBorder="1" applyAlignment="1">
      <alignment horizontal="center" vertical="center" wrapText="1"/>
    </xf>
    <xf numFmtId="0" fontId="3" fillId="6" borderId="191" xfId="1" applyFont="1" applyFill="1" applyBorder="1" applyAlignment="1">
      <alignment horizontal="center" vertical="center" wrapText="1"/>
    </xf>
    <xf numFmtId="17" fontId="22" fillId="9" borderId="200" xfId="0" applyNumberFormat="1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41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3" fontId="19" fillId="0" borderId="15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166" fontId="4" fillId="0" borderId="238" xfId="1" applyNumberFormat="1" applyFont="1" applyBorder="1" applyAlignment="1" applyProtection="1">
      <alignment horizontal="center" vertical="center" wrapText="1"/>
      <protection locked="0"/>
    </xf>
    <xf numFmtId="3" fontId="4" fillId="0" borderId="154" xfId="1" applyNumberFormat="1" applyFont="1" applyBorder="1" applyAlignment="1" applyProtection="1">
      <alignment horizontal="center" vertical="center" wrapText="1"/>
      <protection locked="0"/>
    </xf>
    <xf numFmtId="3" fontId="4" fillId="0" borderId="242" xfId="1" applyNumberFormat="1" applyFont="1" applyBorder="1" applyAlignment="1" applyProtection="1">
      <alignment horizontal="center" vertical="center" wrapText="1"/>
      <protection locked="0"/>
    </xf>
    <xf numFmtId="0" fontId="4" fillId="8" borderId="14" xfId="1" applyFont="1" applyFill="1" applyBorder="1" applyAlignment="1">
      <alignment horizontal="center" vertical="center"/>
    </xf>
    <xf numFmtId="3" fontId="4" fillId="0" borderId="243" xfId="1" applyNumberFormat="1" applyFont="1" applyBorder="1" applyAlignment="1" applyProtection="1">
      <alignment horizontal="center" vertical="center" wrapText="1"/>
      <protection locked="0"/>
    </xf>
    <xf numFmtId="166" fontId="4" fillId="0" borderId="154" xfId="1" applyNumberFormat="1" applyFont="1" applyBorder="1" applyAlignment="1" applyProtection="1">
      <alignment horizontal="center" vertical="center" wrapText="1"/>
      <protection locked="0"/>
    </xf>
    <xf numFmtId="3" fontId="4" fillId="0" borderId="244" xfId="1" applyNumberFormat="1" applyFont="1" applyBorder="1" applyAlignment="1" applyProtection="1">
      <alignment horizontal="center" vertical="center" wrapText="1"/>
      <protection locked="0"/>
    </xf>
    <xf numFmtId="0" fontId="30" fillId="0" borderId="200" xfId="0" applyFont="1" applyBorder="1" applyAlignment="1" applyProtection="1">
      <alignment horizontal="center" vertical="center" wrapText="1"/>
      <protection locked="0"/>
    </xf>
    <xf numFmtId="0" fontId="31" fillId="0" borderId="200" xfId="0" applyFont="1" applyBorder="1" applyAlignment="1" applyProtection="1">
      <alignment horizontal="center" vertical="center" wrapText="1"/>
      <protection locked="0"/>
    </xf>
    <xf numFmtId="3" fontId="4" fillId="0" borderId="200" xfId="1" applyNumberFormat="1" applyFont="1" applyBorder="1" applyAlignment="1" applyProtection="1">
      <alignment horizontal="center" vertical="center" wrapText="1"/>
      <protection locked="0"/>
    </xf>
    <xf numFmtId="3" fontId="4" fillId="0" borderId="245" xfId="1" applyNumberFormat="1" applyFont="1" applyBorder="1" applyAlignment="1" applyProtection="1">
      <alignment horizontal="center" vertical="center" wrapText="1"/>
      <protection locked="0"/>
    </xf>
    <xf numFmtId="3" fontId="4" fillId="0" borderId="246" xfId="1" applyNumberFormat="1" applyFont="1" applyBorder="1" applyAlignment="1" applyProtection="1">
      <alignment horizontal="center" vertical="center" wrapText="1"/>
      <protection locked="0"/>
    </xf>
    <xf numFmtId="3" fontId="4" fillId="0" borderId="9" xfId="1" applyNumberFormat="1" applyFont="1" applyBorder="1" applyAlignment="1" applyProtection="1">
      <alignment horizontal="center" vertical="center" wrapText="1"/>
      <protection locked="0"/>
    </xf>
    <xf numFmtId="3" fontId="4" fillId="0" borderId="13" xfId="1" applyNumberFormat="1" applyFont="1" applyBorder="1" applyAlignment="1" applyProtection="1">
      <alignment horizontal="center" vertical="center" wrapText="1"/>
      <protection locked="0"/>
    </xf>
    <xf numFmtId="3" fontId="4" fillId="0" borderId="6" xfId="1" applyNumberFormat="1" applyFont="1" applyBorder="1" applyAlignment="1" applyProtection="1">
      <alignment horizontal="center" vertical="center" wrapText="1"/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164" fontId="6" fillId="3" borderId="55" xfId="1" applyNumberFormat="1" applyFont="1" applyFill="1" applyBorder="1" applyAlignment="1">
      <alignment horizontal="center" vertical="center" wrapText="1"/>
    </xf>
    <xf numFmtId="164" fontId="8" fillId="3" borderId="238" xfId="1" applyNumberFormat="1" applyFont="1" applyFill="1" applyBorder="1" applyAlignment="1">
      <alignment horizontal="center" vertical="center" wrapText="1"/>
    </xf>
    <xf numFmtId="164" fontId="8" fillId="9" borderId="238" xfId="1" applyNumberFormat="1" applyFont="1" applyFill="1" applyBorder="1" applyAlignment="1">
      <alignment horizontal="center" vertical="center" wrapText="1"/>
    </xf>
    <xf numFmtId="164" fontId="8" fillId="3" borderId="173" xfId="1" applyNumberFormat="1" applyFont="1" applyFill="1" applyBorder="1" applyAlignment="1">
      <alignment horizontal="center" vertical="center" wrapText="1"/>
    </xf>
    <xf numFmtId="164" fontId="8" fillId="9" borderId="173" xfId="1" applyNumberFormat="1" applyFont="1" applyFill="1" applyBorder="1" applyAlignment="1">
      <alignment horizontal="center" vertical="center" wrapText="1"/>
    </xf>
    <xf numFmtId="0" fontId="3" fillId="8" borderId="247" xfId="1" applyFont="1" applyFill="1" applyBorder="1" applyAlignment="1">
      <alignment horizontal="center" vertical="center"/>
    </xf>
    <xf numFmtId="0" fontId="3" fillId="10" borderId="247" xfId="1" applyFont="1" applyFill="1" applyBorder="1" applyAlignment="1">
      <alignment horizontal="center" vertical="center"/>
    </xf>
    <xf numFmtId="3" fontId="4" fillId="0" borderId="248" xfId="1" applyNumberFormat="1" applyFont="1" applyBorder="1" applyAlignment="1" applyProtection="1">
      <alignment horizontal="center" vertical="center" wrapText="1"/>
      <protection locked="0"/>
    </xf>
    <xf numFmtId="3" fontId="4" fillId="0" borderId="249" xfId="1" applyNumberFormat="1" applyFont="1" applyBorder="1" applyAlignment="1" applyProtection="1">
      <alignment horizontal="center" vertical="center" wrapText="1"/>
      <protection locked="0"/>
    </xf>
    <xf numFmtId="3" fontId="4" fillId="0" borderId="250" xfId="1" applyNumberFormat="1" applyFont="1" applyBorder="1" applyAlignment="1" applyProtection="1">
      <alignment horizontal="center" vertical="center" wrapText="1"/>
      <protection locked="0"/>
    </xf>
    <xf numFmtId="164" fontId="8" fillId="3" borderId="248" xfId="1" applyNumberFormat="1" applyFont="1" applyFill="1" applyBorder="1" applyAlignment="1">
      <alignment horizontal="center" vertical="center" wrapText="1"/>
    </xf>
    <xf numFmtId="164" fontId="8" fillId="3" borderId="250" xfId="1" applyNumberFormat="1" applyFont="1" applyFill="1" applyBorder="1" applyAlignment="1">
      <alignment horizontal="center" vertical="center" wrapText="1"/>
    </xf>
    <xf numFmtId="3" fontId="3" fillId="0" borderId="55" xfId="1" applyNumberFormat="1" applyFont="1" applyBorder="1" applyAlignment="1">
      <alignment horizontal="center" wrapText="1"/>
    </xf>
    <xf numFmtId="3" fontId="4" fillId="0" borderId="252" xfId="1" applyNumberFormat="1" applyFont="1" applyBorder="1" applyAlignment="1" applyProtection="1">
      <alignment horizontal="center" vertical="center" wrapText="1"/>
      <protection locked="0"/>
    </xf>
    <xf numFmtId="164" fontId="6" fillId="3" borderId="252" xfId="1" applyNumberFormat="1" applyFont="1" applyFill="1" applyBorder="1" applyAlignment="1">
      <alignment horizontal="center" vertical="center" wrapText="1"/>
    </xf>
    <xf numFmtId="164" fontId="6" fillId="3" borderId="248" xfId="1" applyNumberFormat="1" applyFont="1" applyFill="1" applyBorder="1" applyAlignment="1">
      <alignment horizontal="center" vertical="center" wrapText="1"/>
    </xf>
    <xf numFmtId="164" fontId="6" fillId="3" borderId="250" xfId="1" applyNumberFormat="1" applyFont="1" applyFill="1" applyBorder="1" applyAlignment="1">
      <alignment horizontal="center" vertical="center" wrapText="1"/>
    </xf>
    <xf numFmtId="3" fontId="4" fillId="0" borderId="253" xfId="1" applyNumberFormat="1" applyFont="1" applyBorder="1" applyAlignment="1" applyProtection="1">
      <alignment horizontal="center" vertical="center" wrapText="1"/>
      <protection locked="0"/>
    </xf>
    <xf numFmtId="0" fontId="3" fillId="8" borderId="251" xfId="1" applyFont="1" applyFill="1" applyBorder="1" applyAlignment="1">
      <alignment horizontal="center" vertical="center"/>
    </xf>
    <xf numFmtId="0" fontId="3" fillId="10" borderId="251" xfId="1" applyFont="1" applyFill="1" applyBorder="1" applyAlignment="1">
      <alignment horizontal="center" vertical="center"/>
    </xf>
    <xf numFmtId="0" fontId="3" fillId="8" borderId="254" xfId="1" applyFont="1" applyFill="1" applyBorder="1" applyAlignment="1">
      <alignment horizontal="center" vertical="center"/>
    </xf>
    <xf numFmtId="0" fontId="3" fillId="10" borderId="254" xfId="1" applyFont="1" applyFill="1" applyBorder="1" applyAlignment="1">
      <alignment horizontal="center" vertical="center"/>
    </xf>
    <xf numFmtId="164" fontId="4" fillId="3" borderId="255" xfId="1" applyNumberFormat="1" applyFont="1" applyFill="1" applyBorder="1" applyAlignment="1">
      <alignment horizontal="center" vertical="center" wrapText="1"/>
    </xf>
    <xf numFmtId="0" fontId="4" fillId="8" borderId="256" xfId="1" applyFont="1" applyFill="1" applyBorder="1" applyAlignment="1">
      <alignment horizontal="center" vertical="center"/>
    </xf>
    <xf numFmtId="164" fontId="4" fillId="3" borderId="163" xfId="1" applyNumberFormat="1" applyFont="1" applyFill="1" applyBorder="1" applyAlignment="1">
      <alignment horizontal="center" vertical="center" wrapText="1"/>
    </xf>
    <xf numFmtId="164" fontId="6" fillId="3" borderId="240" xfId="1" applyNumberFormat="1" applyFont="1" applyFill="1" applyBorder="1" applyAlignment="1">
      <alignment horizontal="center" vertical="center" wrapText="1"/>
    </xf>
    <xf numFmtId="3" fontId="3" fillId="0" borderId="249" xfId="1" applyNumberFormat="1" applyFont="1" applyBorder="1" applyAlignment="1">
      <alignment horizontal="center" wrapText="1"/>
    </xf>
    <xf numFmtId="164" fontId="6" fillId="3" borderId="249" xfId="1" applyNumberFormat="1" applyFont="1" applyFill="1" applyBorder="1" applyAlignment="1">
      <alignment horizontal="center" vertical="center" wrapText="1"/>
    </xf>
    <xf numFmtId="3" fontId="4" fillId="0" borderId="257" xfId="1" applyNumberFormat="1" applyFont="1" applyBorder="1" applyAlignment="1" applyProtection="1">
      <alignment horizontal="center" vertical="center" wrapText="1"/>
      <protection locked="0"/>
    </xf>
    <xf numFmtId="164" fontId="6" fillId="3" borderId="257" xfId="1" applyNumberFormat="1" applyFont="1" applyFill="1" applyBorder="1" applyAlignment="1">
      <alignment horizontal="center" vertical="center" wrapText="1"/>
    </xf>
    <xf numFmtId="3" fontId="3" fillId="0" borderId="258" xfId="1" applyNumberFormat="1" applyFont="1" applyBorder="1" applyAlignment="1">
      <alignment horizontal="center" wrapText="1"/>
    </xf>
    <xf numFmtId="164" fontId="6" fillId="3" borderId="258" xfId="1" applyNumberFormat="1" applyFont="1" applyFill="1" applyBorder="1" applyAlignment="1">
      <alignment horizontal="center" vertical="center" wrapText="1"/>
    </xf>
    <xf numFmtId="3" fontId="3" fillId="0" borderId="259" xfId="1" applyNumberFormat="1" applyFont="1" applyBorder="1" applyAlignment="1">
      <alignment horizontal="center" wrapText="1"/>
    </xf>
    <xf numFmtId="164" fontId="6" fillId="3" borderId="259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9" fontId="0" fillId="0" borderId="0" xfId="24" applyFont="1"/>
    <xf numFmtId="3" fontId="3" fillId="0" borderId="260" xfId="1" applyNumberFormat="1" applyFont="1" applyBorder="1" applyAlignment="1">
      <alignment horizontal="center" wrapText="1"/>
    </xf>
    <xf numFmtId="164" fontId="6" fillId="3" borderId="260" xfId="1" applyNumberFormat="1" applyFont="1" applyFill="1" applyBorder="1" applyAlignment="1">
      <alignment horizontal="center" vertical="center" wrapText="1"/>
    </xf>
    <xf numFmtId="164" fontId="6" fillId="3" borderId="253" xfId="1" applyNumberFormat="1" applyFont="1" applyFill="1" applyBorder="1" applyAlignment="1">
      <alignment horizontal="center" vertical="center" wrapText="1"/>
    </xf>
    <xf numFmtId="0" fontId="4" fillId="0" borderId="39" xfId="1" applyFont="1" applyBorder="1" applyAlignment="1">
      <alignment vertical="center" wrapText="1"/>
    </xf>
    <xf numFmtId="0" fontId="4" fillId="0" borderId="249" xfId="1" applyFont="1" applyBorder="1" applyAlignment="1">
      <alignment vertical="center" wrapText="1"/>
    </xf>
    <xf numFmtId="3" fontId="3" fillId="2" borderId="249" xfId="1" applyNumberFormat="1" applyFont="1" applyFill="1" applyBorder="1" applyAlignment="1">
      <alignment horizontal="center" vertical="center" wrapText="1"/>
    </xf>
    <xf numFmtId="164" fontId="6" fillId="17" borderId="249" xfId="1" applyNumberFormat="1" applyFont="1" applyFill="1" applyBorder="1" applyAlignment="1">
      <alignment horizontal="center" vertical="center" wrapText="1"/>
    </xf>
    <xf numFmtId="0" fontId="4" fillId="9" borderId="249" xfId="1" applyFont="1" applyFill="1" applyBorder="1" applyAlignment="1">
      <alignment vertical="center" wrapText="1"/>
    </xf>
    <xf numFmtId="3" fontId="4" fillId="4" borderId="249" xfId="1" applyNumberFormat="1" applyFont="1" applyFill="1" applyBorder="1" applyAlignment="1" applyProtection="1">
      <alignment horizontal="center" vertical="center" wrapText="1"/>
    </xf>
    <xf numFmtId="164" fontId="6" fillId="7" borderId="249" xfId="1" applyNumberFormat="1" applyFont="1" applyFill="1" applyBorder="1" applyAlignment="1" applyProtection="1">
      <alignment horizontal="center" vertical="center" wrapText="1"/>
    </xf>
    <xf numFmtId="0" fontId="0" fillId="0" borderId="249" xfId="0" applyBorder="1"/>
    <xf numFmtId="0" fontId="3" fillId="0" borderId="249" xfId="1" applyFont="1" applyBorder="1"/>
    <xf numFmtId="0" fontId="4" fillId="0" borderId="261" xfId="1" applyFont="1" applyBorder="1" applyAlignment="1">
      <alignment vertical="center"/>
    </xf>
    <xf numFmtId="0" fontId="4" fillId="0" borderId="249" xfId="1" applyFont="1" applyBorder="1" applyAlignment="1">
      <alignment vertical="center"/>
    </xf>
    <xf numFmtId="3" fontId="3" fillId="0" borderId="262" xfId="1" applyNumberFormat="1" applyFont="1" applyBorder="1" applyAlignment="1">
      <alignment horizontal="center" wrapText="1"/>
    </xf>
    <xf numFmtId="164" fontId="6" fillId="3" borderId="262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3" fontId="3" fillId="0" borderId="258" xfId="1" applyNumberFormat="1" applyFont="1" applyFill="1" applyBorder="1" applyAlignment="1">
      <alignment horizontal="center" vertical="center" wrapText="1"/>
    </xf>
    <xf numFmtId="164" fontId="3" fillId="3" borderId="258" xfId="1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center" vertical="center" wrapText="1"/>
    </xf>
    <xf numFmtId="3" fontId="4" fillId="0" borderId="263" xfId="1" applyNumberFormat="1" applyFont="1" applyBorder="1" applyAlignment="1" applyProtection="1">
      <alignment horizontal="center" vertical="center" wrapText="1"/>
      <protection locked="0"/>
    </xf>
    <xf numFmtId="164" fontId="6" fillId="3" borderId="263" xfId="1" applyNumberFormat="1" applyFont="1" applyFill="1" applyBorder="1" applyAlignment="1">
      <alignment horizontal="center" vertical="center" wrapText="1"/>
    </xf>
    <xf numFmtId="164" fontId="6" fillId="3" borderId="245" xfId="1" applyNumberFormat="1" applyFont="1" applyFill="1" applyBorder="1" applyAlignment="1">
      <alignment horizontal="center" vertical="center" wrapText="1"/>
    </xf>
    <xf numFmtId="164" fontId="6" fillId="3" borderId="59" xfId="1" applyNumberFormat="1" applyFont="1" applyFill="1" applyBorder="1" applyAlignment="1">
      <alignment horizontal="center" vertical="center" wrapText="1"/>
    </xf>
    <xf numFmtId="3" fontId="3" fillId="0" borderId="264" xfId="1" applyNumberFormat="1" applyFont="1" applyBorder="1" applyAlignment="1">
      <alignment horizontal="center" wrapText="1"/>
    </xf>
    <xf numFmtId="164" fontId="6" fillId="3" borderId="264" xfId="1" applyNumberFormat="1" applyFont="1" applyFill="1" applyBorder="1" applyAlignment="1">
      <alignment horizontal="center" vertical="center" wrapText="1"/>
    </xf>
    <xf numFmtId="3" fontId="4" fillId="0" borderId="265" xfId="1" applyNumberFormat="1" applyFont="1" applyBorder="1" applyAlignment="1" applyProtection="1">
      <alignment horizontal="center" vertical="center" wrapText="1"/>
      <protection locked="0"/>
    </xf>
    <xf numFmtId="3" fontId="4" fillId="0" borderId="266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3" fontId="4" fillId="0" borderId="267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267" xfId="1" applyNumberFormat="1" applyFont="1" applyFill="1" applyBorder="1" applyAlignment="1">
      <alignment horizontal="center" vertical="center" wrapText="1"/>
    </xf>
    <xf numFmtId="3" fontId="4" fillId="0" borderId="213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213" xfId="1" applyNumberFormat="1" applyFont="1" applyFill="1" applyBorder="1" applyAlignment="1">
      <alignment horizontal="center" vertical="center" wrapText="1"/>
    </xf>
    <xf numFmtId="3" fontId="4" fillId="19" borderId="249" xfId="1" applyNumberFormat="1" applyFont="1" applyFill="1" applyBorder="1" applyAlignment="1" applyProtection="1">
      <alignment horizontal="center" vertical="center" wrapText="1"/>
      <protection locked="0"/>
    </xf>
    <xf numFmtId="164" fontId="6" fillId="20" borderId="249" xfId="1" applyNumberFormat="1" applyFont="1" applyFill="1" applyBorder="1" applyAlignment="1">
      <alignment horizontal="center" vertical="center" wrapText="1"/>
    </xf>
    <xf numFmtId="3" fontId="4" fillId="19" borderId="249" xfId="1" applyNumberFormat="1" applyFont="1" applyFill="1" applyBorder="1" applyAlignment="1" applyProtection="1">
      <alignment horizontal="center" vertical="center" wrapText="1"/>
    </xf>
    <xf numFmtId="164" fontId="6" fillId="20" borderId="249" xfId="1" applyNumberFormat="1" applyFont="1" applyFill="1" applyBorder="1" applyAlignment="1" applyProtection="1">
      <alignment horizontal="center" vertical="center" wrapText="1"/>
    </xf>
    <xf numFmtId="0" fontId="0" fillId="19" borderId="249" xfId="0" applyFill="1" applyBorder="1"/>
    <xf numFmtId="0" fontId="11" fillId="0" borderId="221" xfId="4" applyFont="1" applyBorder="1" applyAlignment="1">
      <alignment horizontal="center" vertical="center"/>
    </xf>
    <xf numFmtId="0" fontId="11" fillId="0" borderId="17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208" xfId="4" applyFont="1" applyBorder="1" applyAlignment="1">
      <alignment horizontal="center" vertical="center"/>
    </xf>
    <xf numFmtId="0" fontId="12" fillId="0" borderId="218" xfId="4" applyFont="1" applyBorder="1" applyAlignment="1">
      <alignment horizontal="center" vertical="center"/>
    </xf>
    <xf numFmtId="0" fontId="12" fillId="0" borderId="217" xfId="4" applyFont="1" applyBorder="1" applyAlignment="1">
      <alignment horizontal="left" vertical="center"/>
    </xf>
    <xf numFmtId="0" fontId="12" fillId="0" borderId="42" xfId="4" applyFont="1" applyBorder="1" applyAlignment="1">
      <alignment horizontal="left" vertical="center"/>
    </xf>
    <xf numFmtId="17" fontId="12" fillId="0" borderId="28" xfId="4" applyNumberFormat="1" applyFont="1" applyBorder="1" applyAlignment="1">
      <alignment horizontal="center" vertical="center"/>
    </xf>
    <xf numFmtId="0" fontId="12" fillId="0" borderId="219" xfId="4" applyFont="1" applyBorder="1" applyAlignment="1">
      <alignment horizontal="center" vertical="center"/>
    </xf>
    <xf numFmtId="0" fontId="12" fillId="0" borderId="28" xfId="4" applyFont="1" applyBorder="1" applyAlignment="1">
      <alignment horizontal="center" vertical="center"/>
    </xf>
    <xf numFmtId="0" fontId="12" fillId="0" borderId="220" xfId="4" applyFont="1" applyBorder="1" applyAlignment="1">
      <alignment horizontal="center" vertical="center"/>
    </xf>
    <xf numFmtId="0" fontId="2" fillId="5" borderId="212" xfId="1" applyFont="1" applyFill="1" applyBorder="1" applyAlignment="1">
      <alignment horizontal="center" vertical="center" wrapText="1"/>
    </xf>
    <xf numFmtId="0" fontId="2" fillId="5" borderId="21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2" fillId="5" borderId="212" xfId="1" applyFont="1" applyFill="1" applyBorder="1" applyAlignment="1">
      <alignment horizontal="center" vertical="center"/>
    </xf>
    <xf numFmtId="0" fontId="2" fillId="5" borderId="21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3" fontId="4" fillId="0" borderId="13" xfId="1" applyNumberFormat="1" applyFont="1" applyBorder="1" applyAlignment="1" applyProtection="1">
      <alignment horizontal="center" vertical="center" wrapText="1"/>
      <protection locked="0"/>
    </xf>
    <xf numFmtId="3" fontId="4" fillId="0" borderId="6" xfId="1" applyNumberFormat="1" applyFont="1" applyBorder="1" applyAlignment="1" applyProtection="1">
      <alignment horizontal="center" vertical="center" wrapText="1"/>
      <protection locked="0"/>
    </xf>
    <xf numFmtId="3" fontId="4" fillId="0" borderId="55" xfId="1" applyNumberFormat="1" applyFont="1" applyBorder="1" applyAlignment="1" applyProtection="1">
      <alignment horizontal="center" vertical="center" wrapText="1"/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164" fontId="6" fillId="3" borderId="55" xfId="1" applyNumberFormat="1" applyFont="1" applyFill="1" applyBorder="1" applyAlignment="1">
      <alignment horizontal="center" vertical="center" wrapText="1"/>
    </xf>
    <xf numFmtId="3" fontId="3" fillId="15" borderId="13" xfId="1" applyNumberFormat="1" applyFont="1" applyFill="1" applyBorder="1" applyAlignment="1">
      <alignment horizontal="center" vertical="center" wrapText="1"/>
    </xf>
    <xf numFmtId="3" fontId="3" fillId="15" borderId="6" xfId="1" applyNumberFormat="1" applyFont="1" applyFill="1" applyBorder="1" applyAlignment="1">
      <alignment horizontal="center" vertical="center" wrapText="1"/>
    </xf>
    <xf numFmtId="3" fontId="3" fillId="15" borderId="55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9" fillId="13" borderId="12" xfId="0" applyFont="1" applyFill="1" applyBorder="1" applyAlignment="1">
      <alignment horizontal="center"/>
    </xf>
    <xf numFmtId="0" fontId="0" fillId="4" borderId="229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231" xfId="0" applyFill="1" applyBorder="1" applyAlignment="1">
      <alignment horizontal="left" vertical="center" wrapText="1"/>
    </xf>
    <xf numFmtId="0" fontId="0" fillId="4" borderId="229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231" xfId="0" applyFill="1" applyBorder="1" applyAlignment="1">
      <alignment horizontal="left" vertical="center"/>
    </xf>
    <xf numFmtId="0" fontId="22" fillId="0" borderId="225" xfId="0" applyFont="1" applyBorder="1" applyAlignment="1">
      <alignment horizontal="center" vertical="center"/>
    </xf>
    <xf numFmtId="0" fontId="22" fillId="0" borderId="226" xfId="0" applyFont="1" applyBorder="1" applyAlignment="1">
      <alignment horizontal="center" vertical="center"/>
    </xf>
    <xf numFmtId="0" fontId="0" fillId="4" borderId="227" xfId="0" applyFill="1" applyBorder="1" applyAlignment="1">
      <alignment horizontal="left" vertical="center" wrapText="1"/>
    </xf>
    <xf numFmtId="0" fontId="0" fillId="4" borderId="228" xfId="0" applyFill="1" applyBorder="1" applyAlignment="1">
      <alignment horizontal="left" vertical="center" wrapText="1"/>
    </xf>
    <xf numFmtId="0" fontId="0" fillId="4" borderId="230" xfId="0" applyFill="1" applyBorder="1" applyAlignment="1">
      <alignment horizontal="left" vertical="center" wrapText="1"/>
    </xf>
    <xf numFmtId="0" fontId="22" fillId="0" borderId="20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32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220" xfId="0" applyFont="1" applyBorder="1" applyAlignment="1">
      <alignment horizontal="center" vertical="center"/>
    </xf>
    <xf numFmtId="0" fontId="22" fillId="0" borderId="219" xfId="0" applyFont="1" applyBorder="1" applyAlignment="1">
      <alignment horizontal="center" vertical="center"/>
    </xf>
    <xf numFmtId="0" fontId="0" fillId="4" borderId="15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41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24" fillId="0" borderId="193" xfId="4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08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9" xfId="0" applyBorder="1" applyAlignment="1">
      <alignment horizontal="center"/>
    </xf>
    <xf numFmtId="0" fontId="0" fillId="0" borderId="56" xfId="0" applyBorder="1" applyAlignment="1">
      <alignment horizontal="center"/>
    </xf>
    <xf numFmtId="2" fontId="0" fillId="0" borderId="201" xfId="0" applyNumberFormat="1" applyBorder="1" applyAlignment="1">
      <alignment horizontal="center" vertical="center" wrapText="1"/>
    </xf>
    <xf numFmtId="2" fontId="0" fillId="0" borderId="203" xfId="0" applyNumberFormat="1" applyBorder="1" applyAlignment="1">
      <alignment horizontal="center" vertical="center" wrapText="1"/>
    </xf>
    <xf numFmtId="2" fontId="0" fillId="0" borderId="205" xfId="0" applyNumberFormat="1" applyBorder="1" applyAlignment="1">
      <alignment horizontal="center" vertical="center" wrapText="1"/>
    </xf>
    <xf numFmtId="0" fontId="0" fillId="0" borderId="201" xfId="0" applyBorder="1" applyAlignment="1">
      <alignment horizontal="center" vertical="center" wrapText="1"/>
    </xf>
    <xf numFmtId="0" fontId="0" fillId="0" borderId="203" xfId="0" applyBorder="1" applyAlignment="1">
      <alignment horizontal="center" vertical="center" wrapText="1"/>
    </xf>
    <xf numFmtId="0" fontId="0" fillId="0" borderId="205" xfId="0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192" xfId="0" applyBorder="1" applyAlignment="1">
      <alignment horizontal="center" wrapText="1"/>
    </xf>
    <xf numFmtId="0" fontId="0" fillId="0" borderId="197" xfId="0" applyBorder="1" applyAlignment="1">
      <alignment horizontal="center" wrapText="1"/>
    </xf>
    <xf numFmtId="0" fontId="0" fillId="0" borderId="200" xfId="0" applyBorder="1" applyAlignment="1">
      <alignment horizontal="center"/>
    </xf>
    <xf numFmtId="0" fontId="0" fillId="0" borderId="194" xfId="0" applyBorder="1" applyAlignment="1">
      <alignment horizontal="center"/>
    </xf>
  </cellXfs>
  <cellStyles count="25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4" builtinId="5"/>
    <cellStyle name="Porcentagem 2" xfId="2" xr:uid="{00000000-0005-0000-0000-000015000000}"/>
    <cellStyle name="Vírgula 2" xfId="3" xr:uid="{00000000-0005-0000-0000-000017000000}"/>
    <cellStyle name="Vírgula 3" xfId="5" xr:uid="{00000000-0005-0000-0000-000018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5B55E8-67D9-491D-9168-7C4EB8E7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B6E329D-D6DF-41B9-B73B-9D020A90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1A4C429-653B-4E0E-9945-D45CBC80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F956239-0CE0-4DF7-95AD-E879C9B9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825306-EA58-4A9E-B4EB-9F25FDE1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5EE92B8-11D7-4891-B75F-5B39B65C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4621E5D-5F62-487D-9C91-B2091CB9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6317327-01FB-4E30-B04F-45E46AC8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75292CA-B515-4F97-970D-FCB8B676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6A7031C-B53E-4D65-B68D-505C87D9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24CDAD0-FF57-46E1-8871-63F5B599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12E3617-812E-4CCF-81E7-862B0B59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0</xdr:col>
      <xdr:colOff>847725</xdr:colOff>
      <xdr:row>3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437DD7E-C37B-4A1A-951E-34E6ABF8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61CAF36-02EA-4B72-8B5D-87764501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4BD6D8-D01D-46B7-A0C0-E02C79D0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0369414-F6C1-45A3-A30E-38B02BD5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2F2B10C-473C-4E62-8496-8C229427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2D5BD63-C8B6-44A6-B85D-D6C5AEB0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A38A002-E75B-4277-B352-EF9D71CF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019AFF-6923-486C-A105-08258DC9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Y18"/>
  <sheetViews>
    <sheetView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63.140625" style="14" customWidth="1"/>
    <col min="2" max="2" width="11.42578125" style="14" bestFit="1" customWidth="1"/>
    <col min="3" max="3" width="10.5703125" style="14" bestFit="1" customWidth="1"/>
    <col min="4" max="4" width="11.42578125" style="14" bestFit="1" customWidth="1"/>
    <col min="5" max="5" width="10.5703125" style="14" bestFit="1" customWidth="1"/>
    <col min="6" max="6" width="11.42578125" style="14" bestFit="1" customWidth="1"/>
    <col min="7" max="7" width="10.5703125" style="14" bestFit="1" customWidth="1"/>
    <col min="8" max="8" width="11.42578125" style="14" bestFit="1" customWidth="1"/>
    <col min="9" max="9" width="10.5703125" style="14" bestFit="1" customWidth="1"/>
    <col min="10" max="10" width="11.42578125" style="14" bestFit="1" customWidth="1"/>
    <col min="11" max="11" width="10.5703125" style="14" bestFit="1" customWidth="1"/>
    <col min="12" max="12" width="11.42578125" style="14" bestFit="1" customWidth="1"/>
    <col min="13" max="13" width="10.5703125" style="14" bestFit="1" customWidth="1"/>
    <col min="14" max="14" width="11.42578125" style="14" bestFit="1" customWidth="1"/>
    <col min="15" max="15" width="10.5703125" style="14" bestFit="1" customWidth="1"/>
    <col min="16" max="16" width="11.42578125" style="14" bestFit="1" customWidth="1"/>
    <col min="17" max="17" width="10.5703125" style="14" bestFit="1" customWidth="1"/>
    <col min="18" max="18" width="11.42578125" style="14" bestFit="1" customWidth="1"/>
    <col min="19" max="19" width="10.5703125" style="14" bestFit="1" customWidth="1"/>
    <col min="20" max="20" width="11.42578125" style="14" bestFit="1" customWidth="1"/>
    <col min="21" max="21" width="10.5703125" style="14" bestFit="1" customWidth="1"/>
    <col min="22" max="22" width="11.42578125" style="14" bestFit="1" customWidth="1"/>
    <col min="23" max="23" width="10.5703125" style="14" bestFit="1" customWidth="1"/>
    <col min="24" max="24" width="11.42578125" style="14" bestFit="1" customWidth="1"/>
    <col min="25" max="25" width="10.5703125" style="14" bestFit="1" customWidth="1"/>
    <col min="26" max="16384" width="8.85546875" style="14"/>
  </cols>
  <sheetData>
    <row r="1" spans="1:25" ht="19.5" thickBot="1" x14ac:dyDescent="0.3">
      <c r="A1" s="635" t="s">
        <v>330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</row>
    <row r="2" spans="1:25" ht="19.5" customHeight="1" thickBot="1" x14ac:dyDescent="0.3">
      <c r="A2" s="637" t="s">
        <v>359</v>
      </c>
      <c r="B2" s="638"/>
      <c r="C2" s="638"/>
      <c r="D2" s="638"/>
      <c r="E2" s="638"/>
      <c r="F2" s="638"/>
      <c r="G2" s="638"/>
      <c r="H2" s="638"/>
      <c r="I2" s="638"/>
      <c r="J2" s="638"/>
      <c r="K2" s="639"/>
      <c r="L2" s="644" t="s">
        <v>326</v>
      </c>
      <c r="M2" s="645"/>
      <c r="N2" s="645"/>
      <c r="O2" s="645"/>
      <c r="P2" s="645"/>
      <c r="Q2" s="645"/>
      <c r="R2" s="645"/>
      <c r="S2" s="645"/>
      <c r="T2" s="645"/>
      <c r="U2" s="645"/>
      <c r="V2" s="645"/>
      <c r="W2" s="645"/>
      <c r="X2" s="645"/>
      <c r="Y2" s="643"/>
    </row>
    <row r="3" spans="1:25" ht="15.75" thickBot="1" x14ac:dyDescent="0.3">
      <c r="A3" s="640" t="s">
        <v>67</v>
      </c>
      <c r="B3" s="642">
        <v>42248</v>
      </c>
      <c r="C3" s="643"/>
      <c r="D3" s="642">
        <v>42278</v>
      </c>
      <c r="E3" s="643"/>
      <c r="F3" s="642">
        <v>42309</v>
      </c>
      <c r="G3" s="643"/>
      <c r="H3" s="642">
        <v>42339</v>
      </c>
      <c r="I3" s="643"/>
      <c r="J3" s="642">
        <v>42370</v>
      </c>
      <c r="K3" s="643"/>
      <c r="L3" s="642">
        <v>42401</v>
      </c>
      <c r="M3" s="643"/>
      <c r="N3" s="642">
        <v>42430</v>
      </c>
      <c r="O3" s="643"/>
      <c r="P3" s="642">
        <v>42461</v>
      </c>
      <c r="Q3" s="643"/>
      <c r="R3" s="642">
        <v>42491</v>
      </c>
      <c r="S3" s="643"/>
      <c r="T3" s="642">
        <v>42522</v>
      </c>
      <c r="U3" s="643"/>
      <c r="V3" s="642">
        <v>42552</v>
      </c>
      <c r="W3" s="643"/>
      <c r="X3" s="642">
        <v>42583</v>
      </c>
      <c r="Y3" s="643"/>
    </row>
    <row r="4" spans="1:25" ht="57.75" customHeight="1" thickBot="1" x14ac:dyDescent="0.3">
      <c r="A4" s="641"/>
      <c r="B4" s="387" t="s">
        <v>68</v>
      </c>
      <c r="C4" s="388" t="s">
        <v>69</v>
      </c>
      <c r="D4" s="387" t="s">
        <v>68</v>
      </c>
      <c r="E4" s="388" t="s">
        <v>69</v>
      </c>
      <c r="F4" s="387" t="s">
        <v>68</v>
      </c>
      <c r="G4" s="388" t="s">
        <v>69</v>
      </c>
      <c r="H4" s="387" t="s">
        <v>68</v>
      </c>
      <c r="I4" s="388" t="s">
        <v>69</v>
      </c>
      <c r="J4" s="387" t="s">
        <v>68</v>
      </c>
      <c r="K4" s="388" t="s">
        <v>69</v>
      </c>
      <c r="L4" s="387" t="s">
        <v>68</v>
      </c>
      <c r="M4" s="388" t="s">
        <v>69</v>
      </c>
      <c r="N4" s="387" t="s">
        <v>68</v>
      </c>
      <c r="O4" s="388" t="s">
        <v>69</v>
      </c>
      <c r="P4" s="387" t="s">
        <v>68</v>
      </c>
      <c r="Q4" s="388" t="s">
        <v>69</v>
      </c>
      <c r="R4" s="387" t="s">
        <v>68</v>
      </c>
      <c r="S4" s="388" t="s">
        <v>69</v>
      </c>
      <c r="T4" s="387" t="s">
        <v>68</v>
      </c>
      <c r="U4" s="388" t="s">
        <v>69</v>
      </c>
      <c r="V4" s="387" t="s">
        <v>68</v>
      </c>
      <c r="W4" s="388" t="s">
        <v>69</v>
      </c>
      <c r="X4" s="387" t="s">
        <v>68</v>
      </c>
      <c r="Y4" s="388" t="s">
        <v>69</v>
      </c>
    </row>
    <row r="5" spans="1:25" ht="33" customHeight="1" thickTop="1" x14ac:dyDescent="0.25">
      <c r="A5" s="372" t="s">
        <v>70</v>
      </c>
      <c r="B5" s="375"/>
      <c r="C5" s="376"/>
      <c r="D5" s="375"/>
      <c r="E5" s="376"/>
      <c r="F5" s="375"/>
      <c r="G5" s="376"/>
      <c r="H5" s="531" t="s">
        <v>348</v>
      </c>
      <c r="I5" s="381">
        <f>IF(H5="SIM",20,0)</f>
        <v>20</v>
      </c>
      <c r="J5" s="531" t="s">
        <v>348</v>
      </c>
      <c r="K5" s="386">
        <f>IF(J5="SIM",20,0)</f>
        <v>20</v>
      </c>
      <c r="L5" s="531" t="s">
        <v>348</v>
      </c>
      <c r="M5" s="381">
        <f>IF(L5="SIM",20,0)</f>
        <v>20</v>
      </c>
      <c r="N5" s="380" t="s">
        <v>348</v>
      </c>
      <c r="O5" s="381">
        <f>IF(N5="SIM",20,0)</f>
        <v>20</v>
      </c>
      <c r="P5" s="380" t="s">
        <v>348</v>
      </c>
      <c r="Q5" s="383">
        <f>IF(P5="SIM",40,0)</f>
        <v>40</v>
      </c>
      <c r="R5" s="391" t="s">
        <v>348</v>
      </c>
      <c r="S5" s="381">
        <f>IF(R5="SIM",20,0)</f>
        <v>20</v>
      </c>
      <c r="T5" s="391" t="s">
        <v>348</v>
      </c>
      <c r="U5" s="381">
        <f>IF(T5="SIM",20,0)</f>
        <v>20</v>
      </c>
      <c r="V5" s="380" t="s">
        <v>348</v>
      </c>
      <c r="W5" s="381">
        <f>IF(V5="SIM",20,0)</f>
        <v>20</v>
      </c>
      <c r="X5" s="380"/>
      <c r="Y5" s="381">
        <f>IF(X5="SIM",20,0)</f>
        <v>0</v>
      </c>
    </row>
    <row r="6" spans="1:25" ht="33" customHeight="1" x14ac:dyDescent="0.25">
      <c r="A6" s="373" t="s">
        <v>71</v>
      </c>
      <c r="B6" s="377"/>
      <c r="C6" s="300"/>
      <c r="D6" s="377"/>
      <c r="E6" s="300"/>
      <c r="F6" s="377"/>
      <c r="G6" s="300"/>
      <c r="H6" s="382" t="s">
        <v>348</v>
      </c>
      <c r="I6" s="383">
        <f>IF(H6="SIM",40,0)</f>
        <v>40</v>
      </c>
      <c r="J6" s="377"/>
      <c r="K6" s="300"/>
      <c r="L6" s="377"/>
      <c r="M6" s="300"/>
      <c r="N6" s="382" t="s">
        <v>348</v>
      </c>
      <c r="O6" s="383">
        <f>IF(N6="SIM",40,0)</f>
        <v>40</v>
      </c>
      <c r="P6" s="377"/>
      <c r="Q6" s="390"/>
      <c r="R6" s="377"/>
      <c r="S6" s="390"/>
      <c r="T6" s="389" t="s">
        <v>348</v>
      </c>
      <c r="U6" s="381">
        <f>IF(T6="SIM",40,0)</f>
        <v>40</v>
      </c>
      <c r="V6" s="377"/>
      <c r="W6" s="390"/>
      <c r="X6" s="377"/>
      <c r="Y6" s="390"/>
    </row>
    <row r="7" spans="1:25" ht="33" customHeight="1" x14ac:dyDescent="0.25">
      <c r="A7" s="373" t="s">
        <v>72</v>
      </c>
      <c r="B7" s="377"/>
      <c r="C7" s="300"/>
      <c r="D7" s="377"/>
      <c r="E7" s="300"/>
      <c r="F7" s="377"/>
      <c r="G7" s="300"/>
      <c r="H7" s="377"/>
      <c r="I7" s="384"/>
      <c r="J7" s="377"/>
      <c r="K7" s="300"/>
      <c r="L7" s="377"/>
      <c r="M7" s="300"/>
      <c r="N7" s="377"/>
      <c r="O7" s="300"/>
      <c r="P7" s="377"/>
      <c r="Q7" s="390"/>
      <c r="R7" s="389" t="s">
        <v>348</v>
      </c>
      <c r="S7" s="383">
        <f>IF(R7="SIM",60,0)</f>
        <v>60</v>
      </c>
      <c r="T7" s="377"/>
      <c r="U7" s="390"/>
      <c r="V7" s="377"/>
      <c r="W7" s="390"/>
      <c r="X7" s="377"/>
      <c r="Y7" s="390"/>
    </row>
    <row r="8" spans="1:25" ht="33" customHeight="1" x14ac:dyDescent="0.25">
      <c r="A8" s="373" t="s">
        <v>73</v>
      </c>
      <c r="B8" s="377"/>
      <c r="C8" s="300"/>
      <c r="D8" s="377"/>
      <c r="E8" s="300"/>
      <c r="F8" s="377"/>
      <c r="G8" s="300"/>
      <c r="H8" s="377"/>
      <c r="I8" s="384"/>
      <c r="J8" s="377"/>
      <c r="K8" s="300"/>
      <c r="L8" s="382" t="s">
        <v>348</v>
      </c>
      <c r="M8" s="299">
        <f>IF(L8="SIM",60,0)</f>
        <v>60</v>
      </c>
      <c r="N8" s="377"/>
      <c r="O8" s="300"/>
      <c r="P8" s="377"/>
      <c r="Q8" s="390"/>
      <c r="R8" s="377"/>
      <c r="S8" s="390"/>
      <c r="T8" s="377"/>
      <c r="U8" s="390"/>
      <c r="V8" s="377"/>
      <c r="W8" s="390"/>
      <c r="X8" s="389"/>
      <c r="Y8" s="381">
        <f>IF(X8="SIM",60,0)</f>
        <v>0</v>
      </c>
    </row>
    <row r="9" spans="1:25" ht="33" customHeight="1" x14ac:dyDescent="0.25">
      <c r="A9" s="373" t="s">
        <v>74</v>
      </c>
      <c r="B9" s="377"/>
      <c r="C9" s="300"/>
      <c r="D9" s="377"/>
      <c r="E9" s="300"/>
      <c r="F9" s="377"/>
      <c r="G9" s="300"/>
      <c r="H9" s="377"/>
      <c r="I9" s="384"/>
      <c r="J9" s="531" t="s">
        <v>348</v>
      </c>
      <c r="K9" s="299">
        <f>IF(J9="SIM",60,0)</f>
        <v>60</v>
      </c>
      <c r="L9" s="377"/>
      <c r="M9" s="300"/>
      <c r="N9" s="377"/>
      <c r="O9" s="300"/>
      <c r="P9" s="389" t="s">
        <v>348</v>
      </c>
      <c r="Q9" s="383">
        <f>IF(P9="SIM",40,0)</f>
        <v>40</v>
      </c>
      <c r="R9" s="377"/>
      <c r="S9" s="390"/>
      <c r="T9" s="377"/>
      <c r="U9" s="390"/>
      <c r="V9" s="389" t="s">
        <v>348</v>
      </c>
      <c r="W9" s="381">
        <f>IF(V9="SIM",60,0)</f>
        <v>60</v>
      </c>
      <c r="X9" s="377"/>
      <c r="Y9" s="390"/>
    </row>
    <row r="10" spans="1:25" ht="33" customHeight="1" x14ac:dyDescent="0.25">
      <c r="A10" s="373" t="s">
        <v>75</v>
      </c>
      <c r="B10" s="377"/>
      <c r="C10" s="300"/>
      <c r="D10" s="377"/>
      <c r="E10" s="300"/>
      <c r="F10" s="377"/>
      <c r="G10" s="300"/>
      <c r="H10" s="531" t="s">
        <v>348</v>
      </c>
      <c r="I10" s="383">
        <f>IF(H10="SIM",20,0)</f>
        <v>20</v>
      </c>
      <c r="J10" s="377"/>
      <c r="K10" s="300"/>
      <c r="L10" s="377"/>
      <c r="M10" s="300"/>
      <c r="N10" s="389" t="s">
        <v>348</v>
      </c>
      <c r="O10" s="383">
        <f>IF(N10="SIM",40,0)</f>
        <v>40</v>
      </c>
      <c r="P10" s="377"/>
      <c r="Q10" s="390"/>
      <c r="R10" s="377"/>
      <c r="S10" s="390"/>
      <c r="T10" s="389" t="s">
        <v>348</v>
      </c>
      <c r="U10" s="381">
        <f>IF(T10="SIM",40,0)</f>
        <v>40</v>
      </c>
      <c r="V10" s="377"/>
      <c r="W10" s="390"/>
      <c r="X10" s="377"/>
      <c r="Y10" s="390"/>
    </row>
    <row r="11" spans="1:25" ht="33" customHeight="1" x14ac:dyDescent="0.25">
      <c r="A11" s="373" t="s">
        <v>76</v>
      </c>
      <c r="B11" s="377"/>
      <c r="C11" s="300"/>
      <c r="D11" s="377"/>
      <c r="E11" s="300"/>
      <c r="F11" s="377"/>
      <c r="G11" s="300"/>
      <c r="H11" s="531" t="s">
        <v>348</v>
      </c>
      <c r="I11" s="383">
        <f>IF(H11="SIM",20,0)</f>
        <v>20</v>
      </c>
      <c r="J11" s="377"/>
      <c r="K11" s="300"/>
      <c r="L11" s="382" t="s">
        <v>348</v>
      </c>
      <c r="M11" s="381">
        <f>IF(L11="SIM",20,0)</f>
        <v>20</v>
      </c>
      <c r="N11" s="377"/>
      <c r="O11" s="300"/>
      <c r="P11" s="377"/>
      <c r="Q11" s="390"/>
      <c r="R11" s="389" t="s">
        <v>348</v>
      </c>
      <c r="S11" s="381">
        <f>IF(R11="SIM",20,0)</f>
        <v>20</v>
      </c>
      <c r="T11" s="377"/>
      <c r="U11" s="390"/>
      <c r="V11" s="377"/>
      <c r="W11" s="390"/>
      <c r="X11" s="389"/>
      <c r="Y11" s="381">
        <f>IF(X11="SIM",20,0)</f>
        <v>0</v>
      </c>
    </row>
    <row r="12" spans="1:25" ht="33" customHeight="1" x14ac:dyDescent="0.25">
      <c r="A12" s="373" t="s">
        <v>77</v>
      </c>
      <c r="B12" s="377"/>
      <c r="C12" s="300"/>
      <c r="D12" s="377"/>
      <c r="E12" s="300"/>
      <c r="F12" s="377"/>
      <c r="G12" s="300"/>
      <c r="H12" s="377"/>
      <c r="I12" s="384"/>
      <c r="J12" s="382"/>
      <c r="K12" s="299">
        <f>IF(J12="SIM",20,0)</f>
        <v>0</v>
      </c>
      <c r="L12" s="377"/>
      <c r="M12" s="300"/>
      <c r="N12" s="377"/>
      <c r="O12" s="300"/>
      <c r="P12" s="389" t="s">
        <v>348</v>
      </c>
      <c r="Q12" s="381">
        <f>IF(P12="SIM",20,0)</f>
        <v>20</v>
      </c>
      <c r="R12" s="377"/>
      <c r="S12" s="390"/>
      <c r="T12" s="377"/>
      <c r="U12" s="390"/>
      <c r="V12" s="389" t="s">
        <v>348</v>
      </c>
      <c r="W12" s="381">
        <f>IF(V12="SIM",20,0)</f>
        <v>20</v>
      </c>
      <c r="X12" s="377"/>
      <c r="Y12" s="390"/>
    </row>
    <row r="13" spans="1:25" ht="23.25" customHeight="1" thickBot="1" x14ac:dyDescent="0.3">
      <c r="A13" s="374" t="s">
        <v>7</v>
      </c>
      <c r="B13" s="378"/>
      <c r="C13" s="379"/>
      <c r="D13" s="378"/>
      <c r="E13" s="379"/>
      <c r="F13" s="378"/>
      <c r="G13" s="379"/>
      <c r="H13" s="378"/>
      <c r="I13" s="385">
        <f>SUM(I5:I12)</f>
        <v>100</v>
      </c>
      <c r="J13" s="378"/>
      <c r="K13" s="301">
        <f>SUM(K5:K12)</f>
        <v>80</v>
      </c>
      <c r="L13" s="378"/>
      <c r="M13" s="385">
        <f>SUM(M5:M12)</f>
        <v>100</v>
      </c>
      <c r="N13" s="378"/>
      <c r="O13" s="385">
        <f>SUM(O5:O12)</f>
        <v>100</v>
      </c>
      <c r="P13" s="378"/>
      <c r="Q13" s="385">
        <f>SUM(Q5:Q12)</f>
        <v>100</v>
      </c>
      <c r="R13" s="378"/>
      <c r="S13" s="385">
        <f>SUM(S5:S12)</f>
        <v>100</v>
      </c>
      <c r="T13" s="378"/>
      <c r="U13" s="385">
        <f>SUM(U5:U12)</f>
        <v>100</v>
      </c>
      <c r="V13" s="378"/>
      <c r="W13" s="385">
        <f>SUM(W5:W12)</f>
        <v>100</v>
      </c>
      <c r="X13" s="378"/>
      <c r="Y13" s="385">
        <f>SUM(Y5:Y12)</f>
        <v>0</v>
      </c>
    </row>
    <row r="15" spans="1:25" ht="28.5" x14ac:dyDescent="0.25">
      <c r="A15" s="15" t="s">
        <v>78</v>
      </c>
    </row>
    <row r="16" spans="1:25" x14ac:dyDescent="0.25">
      <c r="A16" s="15" t="s">
        <v>79</v>
      </c>
    </row>
    <row r="18" spans="1:1" x14ac:dyDescent="0.25">
      <c r="A18" s="16" t="s">
        <v>80</v>
      </c>
    </row>
  </sheetData>
  <mergeCells count="16">
    <mergeCell ref="A1:Y1"/>
    <mergeCell ref="A2:K2"/>
    <mergeCell ref="A3:A4"/>
    <mergeCell ref="B3:C3"/>
    <mergeCell ref="D3:E3"/>
    <mergeCell ref="F3:G3"/>
    <mergeCell ref="H3:I3"/>
    <mergeCell ref="J3:K3"/>
    <mergeCell ref="X3:Y3"/>
    <mergeCell ref="L2:Y2"/>
    <mergeCell ref="L3:M3"/>
    <mergeCell ref="N3:O3"/>
    <mergeCell ref="P3:Q3"/>
    <mergeCell ref="R3:S3"/>
    <mergeCell ref="T3:U3"/>
    <mergeCell ref="V3:W3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Z12"/>
  <sheetViews>
    <sheetView workbookViewId="0"/>
  </sheetViews>
  <sheetFormatPr defaultColWidth="8.85546875" defaultRowHeight="15" x14ac:dyDescent="0.25"/>
  <cols>
    <col min="1" max="1" width="48.140625" bestFit="1" customWidth="1"/>
    <col min="3" max="3" width="4.28515625" bestFit="1" customWidth="1"/>
    <col min="4" max="4" width="7.5703125" customWidth="1"/>
    <col min="5" max="5" width="4" bestFit="1" customWidth="1"/>
    <col min="6" max="6" width="7.5703125" customWidth="1"/>
    <col min="7" max="7" width="4.7109375" bestFit="1" customWidth="1"/>
    <col min="8" max="8" width="7.5703125" bestFit="1" customWidth="1"/>
    <col min="9" max="9" width="4.42578125" bestFit="1" customWidth="1"/>
    <col min="10" max="10" width="7.5703125" bestFit="1" customWidth="1"/>
    <col min="11" max="11" width="4" bestFit="1" customWidth="1"/>
    <col min="12" max="12" width="7.5703125" bestFit="1" customWidth="1"/>
    <col min="13" max="13" width="4.28515625" bestFit="1" customWidth="1"/>
    <col min="14" max="14" width="7.5703125" bestFit="1" customWidth="1"/>
    <col min="15" max="15" width="4.140625" bestFit="1" customWidth="1"/>
    <col min="16" max="16" width="7.5703125" bestFit="1" customWidth="1"/>
    <col min="17" max="17" width="4.5703125" bestFit="1" customWidth="1"/>
    <col min="18" max="18" width="7.5703125" bestFit="1" customWidth="1"/>
    <col min="19" max="19" width="4.140625" bestFit="1" customWidth="1"/>
    <col min="20" max="20" width="7.5703125" bestFit="1" customWidth="1"/>
    <col min="21" max="21" width="4.42578125" bestFit="1" customWidth="1"/>
    <col min="22" max="22" width="7.5703125" bestFit="1" customWidth="1"/>
    <col min="23" max="23" width="4.5703125" bestFit="1" customWidth="1"/>
    <col min="24" max="24" width="7.5703125" bestFit="1" customWidth="1"/>
    <col min="25" max="25" width="4.140625" bestFit="1" customWidth="1"/>
    <col min="26" max="26" width="7.5703125" bestFit="1" customWidth="1"/>
  </cols>
  <sheetData>
    <row r="2" spans="1:26" ht="18" x14ac:dyDescent="0.35">
      <c r="A2" s="648" t="s">
        <v>363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</row>
    <row r="3" spans="1:26" ht="18" x14ac:dyDescent="0.35">
      <c r="A3" s="648" t="s">
        <v>331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376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150" t="s">
        <v>15</v>
      </c>
      <c r="B6" s="151" t="s">
        <v>16</v>
      </c>
      <c r="C6" s="579" t="s">
        <v>327</v>
      </c>
      <c r="D6" s="580" t="s">
        <v>1</v>
      </c>
      <c r="E6" s="579" t="s">
        <v>328</v>
      </c>
      <c r="F6" s="580" t="s">
        <v>1</v>
      </c>
      <c r="G6" s="295" t="s">
        <v>349</v>
      </c>
      <c r="H6" s="296" t="s">
        <v>1</v>
      </c>
      <c r="I6" s="295" t="s">
        <v>350</v>
      </c>
      <c r="J6" s="296" t="s">
        <v>1</v>
      </c>
      <c r="K6" s="295" t="s">
        <v>351</v>
      </c>
      <c r="L6" s="296" t="s">
        <v>1</v>
      </c>
      <c r="M6" s="295" t="s">
        <v>353</v>
      </c>
      <c r="N6" s="296" t="s">
        <v>1</v>
      </c>
      <c r="O6" s="295" t="s">
        <v>354</v>
      </c>
      <c r="P6" s="296" t="s">
        <v>1</v>
      </c>
      <c r="Q6" s="295" t="s">
        <v>2</v>
      </c>
      <c r="R6" s="296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5.75" thickTop="1" x14ac:dyDescent="0.25">
      <c r="A7" s="78" t="s">
        <v>164</v>
      </c>
      <c r="B7" s="658">
        <v>60</v>
      </c>
      <c r="C7" s="652">
        <v>65</v>
      </c>
      <c r="D7" s="655">
        <f>((C7/$B7))-1</f>
        <v>8.3333333333333259E-2</v>
      </c>
      <c r="E7" s="652">
        <v>60</v>
      </c>
      <c r="F7" s="655">
        <f>((E7/$B7))-1</f>
        <v>0</v>
      </c>
      <c r="G7" s="652">
        <v>64</v>
      </c>
      <c r="H7" s="655">
        <f>((G7/$B7))-1</f>
        <v>6.6666666666666652E-2</v>
      </c>
      <c r="I7" s="652">
        <v>59</v>
      </c>
      <c r="J7" s="655">
        <f>((I7/$B7))-1</f>
        <v>-1.6666666666666718E-2</v>
      </c>
      <c r="K7" s="652">
        <v>60</v>
      </c>
      <c r="L7" s="655">
        <f>((K7/$B7))-1</f>
        <v>0</v>
      </c>
      <c r="M7" s="652">
        <v>57</v>
      </c>
      <c r="N7" s="655">
        <f>((M7/$B7))-1</f>
        <v>-5.0000000000000044E-2</v>
      </c>
      <c r="O7" s="652">
        <v>62</v>
      </c>
      <c r="P7" s="655">
        <f>((O7/$B7))-1</f>
        <v>3.3333333333333437E-2</v>
      </c>
      <c r="Q7" s="652">
        <v>61</v>
      </c>
      <c r="R7" s="655">
        <f>((Q7/$B7))-1</f>
        <v>1.6666666666666607E-2</v>
      </c>
      <c r="S7" s="652">
        <v>61</v>
      </c>
      <c r="T7" s="655">
        <f t="shared" ref="T7:T10" si="0">S7/$B7</f>
        <v>1.0166666666666666</v>
      </c>
      <c r="U7" s="652">
        <v>61</v>
      </c>
      <c r="V7" s="655">
        <f t="shared" ref="V7:V10" si="1">U7/$B7</f>
        <v>1.0166666666666666</v>
      </c>
      <c r="W7" s="652">
        <v>65</v>
      </c>
      <c r="X7" s="655">
        <f t="shared" ref="X7:X10" si="2">W7/$B7</f>
        <v>1.0833333333333333</v>
      </c>
      <c r="Y7" s="652">
        <v>60</v>
      </c>
      <c r="Z7" s="655">
        <f t="shared" ref="Z7:Z10" si="3">Y7/$B7</f>
        <v>1</v>
      </c>
    </row>
    <row r="8" spans="1:26" x14ac:dyDescent="0.25">
      <c r="A8" s="78" t="s">
        <v>165</v>
      </c>
      <c r="B8" s="659"/>
      <c r="C8" s="653"/>
      <c r="D8" s="656"/>
      <c r="E8" s="653"/>
      <c r="F8" s="656"/>
      <c r="G8" s="653"/>
      <c r="H8" s="656"/>
      <c r="I8" s="653"/>
      <c r="J8" s="656"/>
      <c r="K8" s="653"/>
      <c r="L8" s="656"/>
      <c r="M8" s="653"/>
      <c r="N8" s="656"/>
      <c r="O8" s="653"/>
      <c r="P8" s="656"/>
      <c r="Q8" s="653"/>
      <c r="R8" s="656"/>
      <c r="S8" s="653"/>
      <c r="T8" s="656" t="e">
        <f t="shared" si="0"/>
        <v>#DIV/0!</v>
      </c>
      <c r="U8" s="653"/>
      <c r="V8" s="656" t="e">
        <f t="shared" si="1"/>
        <v>#DIV/0!</v>
      </c>
      <c r="W8" s="653"/>
      <c r="X8" s="656" t="e">
        <f t="shared" si="2"/>
        <v>#DIV/0!</v>
      </c>
      <c r="Y8" s="653"/>
      <c r="Z8" s="656" t="e">
        <f t="shared" si="3"/>
        <v>#DIV/0!</v>
      </c>
    </row>
    <row r="9" spans="1:26" x14ac:dyDescent="0.25">
      <c r="A9" s="78" t="s">
        <v>168</v>
      </c>
      <c r="B9" s="659"/>
      <c r="C9" s="653"/>
      <c r="D9" s="656"/>
      <c r="E9" s="653"/>
      <c r="F9" s="656"/>
      <c r="G9" s="653"/>
      <c r="H9" s="656"/>
      <c r="I9" s="653"/>
      <c r="J9" s="656"/>
      <c r="K9" s="653"/>
      <c r="L9" s="656"/>
      <c r="M9" s="653"/>
      <c r="N9" s="656"/>
      <c r="O9" s="653"/>
      <c r="P9" s="656"/>
      <c r="Q9" s="653"/>
      <c r="R9" s="656"/>
      <c r="S9" s="653"/>
      <c r="T9" s="656" t="e">
        <f t="shared" si="0"/>
        <v>#DIV/0!</v>
      </c>
      <c r="U9" s="653"/>
      <c r="V9" s="656" t="e">
        <f t="shared" si="1"/>
        <v>#DIV/0!</v>
      </c>
      <c r="W9" s="653"/>
      <c r="X9" s="656" t="e">
        <f t="shared" si="2"/>
        <v>#DIV/0!</v>
      </c>
      <c r="Y9" s="653"/>
      <c r="Z9" s="656" t="e">
        <f t="shared" si="3"/>
        <v>#DIV/0!</v>
      </c>
    </row>
    <row r="10" spans="1:26" ht="15.75" thickBot="1" x14ac:dyDescent="0.3">
      <c r="A10" s="152" t="s">
        <v>166</v>
      </c>
      <c r="B10" s="660"/>
      <c r="C10" s="654"/>
      <c r="D10" s="657"/>
      <c r="E10" s="654"/>
      <c r="F10" s="657"/>
      <c r="G10" s="654"/>
      <c r="H10" s="657"/>
      <c r="I10" s="654"/>
      <c r="J10" s="657"/>
      <c r="K10" s="654"/>
      <c r="L10" s="657"/>
      <c r="M10" s="654"/>
      <c r="N10" s="657"/>
      <c r="O10" s="654"/>
      <c r="P10" s="657"/>
      <c r="Q10" s="654"/>
      <c r="R10" s="657"/>
      <c r="S10" s="654"/>
      <c r="T10" s="657" t="e">
        <f t="shared" si="0"/>
        <v>#DIV/0!</v>
      </c>
      <c r="U10" s="654"/>
      <c r="V10" s="657" t="e">
        <f t="shared" si="1"/>
        <v>#DIV/0!</v>
      </c>
      <c r="W10" s="654"/>
      <c r="X10" s="657" t="e">
        <f t="shared" si="2"/>
        <v>#DIV/0!</v>
      </c>
      <c r="Y10" s="654"/>
      <c r="Z10" s="657" t="e">
        <f t="shared" si="3"/>
        <v>#DIV/0!</v>
      </c>
    </row>
    <row r="11" spans="1:26" ht="15.75" thickBot="1" x14ac:dyDescent="0.3">
      <c r="A11" s="68" t="s">
        <v>7</v>
      </c>
      <c r="B11" s="153">
        <f>SUM(B7:B10)</f>
        <v>60</v>
      </c>
      <c r="C11" s="76">
        <f>SUM(C7:C10)</f>
        <v>65</v>
      </c>
      <c r="D11" s="90">
        <f>((C11/$B11))-1</f>
        <v>8.3333333333333259E-2</v>
      </c>
      <c r="E11" s="76">
        <f>SUM(E7:E10)</f>
        <v>60</v>
      </c>
      <c r="F11" s="90">
        <f>((E11/$B11))-1</f>
        <v>0</v>
      </c>
      <c r="G11" s="76">
        <f>SUM(G7:G10)</f>
        <v>64</v>
      </c>
      <c r="H11" s="90">
        <f>((G11/$B11))-1</f>
        <v>6.6666666666666652E-2</v>
      </c>
      <c r="I11" s="76">
        <f>SUM(I7:I10)</f>
        <v>59</v>
      </c>
      <c r="J11" s="90">
        <f>((I11/$B11))-1</f>
        <v>-1.6666666666666718E-2</v>
      </c>
      <c r="K11" s="76">
        <f>SUM(K7:K10)</f>
        <v>60</v>
      </c>
      <c r="L11" s="90">
        <f>((K11/$B11))-1</f>
        <v>0</v>
      </c>
      <c r="M11" s="76">
        <f>SUM(M7:M10)</f>
        <v>57</v>
      </c>
      <c r="N11" s="90">
        <f>((M11/$B11))-1</f>
        <v>-5.0000000000000044E-2</v>
      </c>
      <c r="O11" s="76">
        <f>SUM(O7:O10)</f>
        <v>62</v>
      </c>
      <c r="P11" s="90">
        <f>((O11/$B11))-1</f>
        <v>3.3333333333333437E-2</v>
      </c>
      <c r="Q11" s="76">
        <f>SUM(Q7:Q10)</f>
        <v>61</v>
      </c>
      <c r="R11" s="90">
        <f>((Q11/$B11))-1</f>
        <v>1.6666666666666607E-2</v>
      </c>
      <c r="S11" s="573">
        <f>SUM(S7:S10)</f>
        <v>61</v>
      </c>
      <c r="T11" s="561">
        <f>((S11/$B$11))-1</f>
        <v>1.6666666666666607E-2</v>
      </c>
      <c r="U11" s="573">
        <f>SUM(U7:U10)</f>
        <v>61</v>
      </c>
      <c r="V11" s="561">
        <f>((U11/$B$11))-1</f>
        <v>1.6666666666666607E-2</v>
      </c>
      <c r="W11" s="573">
        <f>SUM(W7:W10)</f>
        <v>65</v>
      </c>
      <c r="X11" s="561">
        <f>((W11/$B$11))-1</f>
        <v>8.3333333333333259E-2</v>
      </c>
      <c r="Y11" s="573">
        <f>SUM(Y7:Y10)</f>
        <v>60</v>
      </c>
      <c r="Z11" s="561">
        <f>((Y11/$B$11))-1</f>
        <v>0</v>
      </c>
    </row>
    <row r="12" spans="1:26" x14ac:dyDescent="0.25">
      <c r="B12" s="42"/>
    </row>
  </sheetData>
  <mergeCells count="28">
    <mergeCell ref="Y7:Y10"/>
    <mergeCell ref="Z7:Z10"/>
    <mergeCell ref="T7:T10"/>
    <mergeCell ref="U7:U10"/>
    <mergeCell ref="V7:V10"/>
    <mergeCell ref="W7:W10"/>
    <mergeCell ref="X7:X10"/>
    <mergeCell ref="S7:S10"/>
    <mergeCell ref="M7:M10"/>
    <mergeCell ref="N7:N10"/>
    <mergeCell ref="K7:K10"/>
    <mergeCell ref="L7:L10"/>
    <mergeCell ref="A2:Z2"/>
    <mergeCell ref="A3:Z3"/>
    <mergeCell ref="A5:Z5"/>
    <mergeCell ref="O7:O10"/>
    <mergeCell ref="P7:P10"/>
    <mergeCell ref="Q7:Q10"/>
    <mergeCell ref="R7:R10"/>
    <mergeCell ref="B7:B10"/>
    <mergeCell ref="G7:G10"/>
    <mergeCell ref="H7:H10"/>
    <mergeCell ref="I7:I10"/>
    <mergeCell ref="J7:J10"/>
    <mergeCell ref="C7:C10"/>
    <mergeCell ref="D7:D10"/>
    <mergeCell ref="E7:E10"/>
    <mergeCell ref="F7:F10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Z13"/>
  <sheetViews>
    <sheetView workbookViewId="0"/>
  </sheetViews>
  <sheetFormatPr defaultColWidth="8.85546875" defaultRowHeight="15" x14ac:dyDescent="0.25"/>
  <cols>
    <col min="1" max="1" width="38.7109375" customWidth="1"/>
    <col min="3" max="3" width="5.42578125" bestFit="1" customWidth="1"/>
    <col min="4" max="4" width="8.140625" bestFit="1" customWidth="1"/>
    <col min="5" max="5" width="5.42578125" bestFit="1" customWidth="1"/>
    <col min="6" max="6" width="8.140625" bestFit="1" customWidth="1"/>
    <col min="7" max="7" width="5.42578125" bestFit="1" customWidth="1"/>
    <col min="8" max="8" width="8.140625" bestFit="1" customWidth="1"/>
    <col min="9" max="9" width="5.42578125" bestFit="1" customWidth="1"/>
    <col min="10" max="10" width="8.140625" bestFit="1" customWidth="1"/>
    <col min="11" max="11" width="5.42578125" bestFit="1" customWidth="1"/>
    <col min="12" max="12" width="8.140625" bestFit="1" customWidth="1"/>
    <col min="13" max="13" width="5.42578125" bestFit="1" customWidth="1"/>
    <col min="14" max="14" width="8.140625" bestFit="1" customWidth="1"/>
    <col min="15" max="15" width="5.42578125" bestFit="1" customWidth="1"/>
    <col min="16" max="16" width="8.140625" bestFit="1" customWidth="1"/>
    <col min="17" max="17" width="5.42578125" bestFit="1" customWidth="1"/>
    <col min="18" max="18" width="8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648" t="s">
        <v>363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</row>
    <row r="3" spans="1:26" ht="18" x14ac:dyDescent="0.35">
      <c r="A3" s="648" t="s">
        <v>0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375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216" t="s">
        <v>15</v>
      </c>
      <c r="B6" s="217" t="s">
        <v>16</v>
      </c>
      <c r="C6" s="579" t="s">
        <v>327</v>
      </c>
      <c r="D6" s="580" t="s">
        <v>1</v>
      </c>
      <c r="E6" s="579" t="s">
        <v>328</v>
      </c>
      <c r="F6" s="580" t="s">
        <v>1</v>
      </c>
      <c r="G6" s="295" t="s">
        <v>349</v>
      </c>
      <c r="H6" s="296" t="s">
        <v>1</v>
      </c>
      <c r="I6" s="295" t="s">
        <v>350</v>
      </c>
      <c r="J6" s="296" t="s">
        <v>1</v>
      </c>
      <c r="K6" s="295" t="s">
        <v>351</v>
      </c>
      <c r="L6" s="296" t="s">
        <v>1</v>
      </c>
      <c r="M6" s="295" t="s">
        <v>353</v>
      </c>
      <c r="N6" s="296" t="s">
        <v>1</v>
      </c>
      <c r="O6" s="295" t="s">
        <v>354</v>
      </c>
      <c r="P6" s="296" t="s">
        <v>1</v>
      </c>
      <c r="Q6" s="295" t="s">
        <v>2</v>
      </c>
      <c r="R6" s="296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5.75" thickTop="1" x14ac:dyDescent="0.25">
      <c r="A7" s="218" t="s">
        <v>9</v>
      </c>
      <c r="B7" s="1">
        <v>999</v>
      </c>
      <c r="C7" s="418">
        <v>501</v>
      </c>
      <c r="D7" s="420">
        <f>((C7/$B7))-1</f>
        <v>-0.49849849849849848</v>
      </c>
      <c r="E7" s="418">
        <v>476</v>
      </c>
      <c r="F7" s="420">
        <f>((E7/$B7))-1</f>
        <v>-0.5235235235235236</v>
      </c>
      <c r="G7" s="418">
        <v>576</v>
      </c>
      <c r="H7" s="5">
        <f>((G7/$B7))-1</f>
        <v>-0.42342342342342343</v>
      </c>
      <c r="I7" s="418">
        <v>464</v>
      </c>
      <c r="J7" s="5">
        <f>((I7/$B7))-1</f>
        <v>-0.53553553553553557</v>
      </c>
      <c r="K7" s="418">
        <v>639</v>
      </c>
      <c r="L7" s="5">
        <f>((K7/$B7))-1</f>
        <v>-0.36036036036036034</v>
      </c>
      <c r="M7" s="418">
        <v>678</v>
      </c>
      <c r="N7" s="5">
        <f>((M7/$B7))-1</f>
        <v>-0.3213213213213213</v>
      </c>
      <c r="O7" s="418">
        <v>694</v>
      </c>
      <c r="P7" s="5">
        <f>((O7/$B7))-1</f>
        <v>-0.30530530530530531</v>
      </c>
      <c r="Q7" s="418">
        <v>688</v>
      </c>
      <c r="R7" s="5">
        <f>((Q7/$B7))-1</f>
        <v>-0.31131131131131129</v>
      </c>
      <c r="S7" s="418">
        <v>710</v>
      </c>
      <c r="T7" s="420">
        <f t="shared" ref="T7:T13" si="0">S7/$B7</f>
        <v>0.71071071071071068</v>
      </c>
      <c r="U7" s="418">
        <v>572</v>
      </c>
      <c r="V7" s="420">
        <f t="shared" ref="V7:V13" si="1">U7/$B7</f>
        <v>0.57257257257257255</v>
      </c>
      <c r="W7" s="418">
        <v>632</v>
      </c>
      <c r="X7" s="420">
        <f t="shared" ref="X7:X13" si="2">W7/$B7</f>
        <v>0.63263263263263259</v>
      </c>
      <c r="Y7" s="418">
        <v>641</v>
      </c>
      <c r="Z7" s="420">
        <f t="shared" ref="Z7:Z13" si="3">Y7/$B7</f>
        <v>0.64164164164164161</v>
      </c>
    </row>
    <row r="8" spans="1:26" x14ac:dyDescent="0.25">
      <c r="A8" s="218" t="s">
        <v>10</v>
      </c>
      <c r="B8" s="219">
        <v>3996</v>
      </c>
      <c r="C8" s="568">
        <v>1918</v>
      </c>
      <c r="D8" s="420">
        <f t="shared" ref="D8:D12" si="4">((C8/$B8))-1</f>
        <v>-0.52002002002002001</v>
      </c>
      <c r="E8" s="568">
        <v>2168</v>
      </c>
      <c r="F8" s="420">
        <f t="shared" ref="F8:F13" si="5">((E8/$B8))-1</f>
        <v>-0.45745745745745747</v>
      </c>
      <c r="G8" s="266">
        <v>3100</v>
      </c>
      <c r="H8" s="5">
        <f t="shared" ref="H8:H13" si="6">((G8/$B8))-1</f>
        <v>-0.22422422422422428</v>
      </c>
      <c r="I8" s="545">
        <v>2347</v>
      </c>
      <c r="J8" s="5">
        <f t="shared" ref="J8:J12" si="7">((I8/$B8))-1</f>
        <v>-0.41266266266266272</v>
      </c>
      <c r="K8" s="545">
        <v>2700</v>
      </c>
      <c r="L8" s="5">
        <f t="shared" ref="L8:L13" si="8">((K8/$B8))-1</f>
        <v>-0.32432432432432434</v>
      </c>
      <c r="M8" s="545">
        <v>2908</v>
      </c>
      <c r="N8" s="5">
        <f t="shared" ref="N8:N12" si="9">((M8/$B8))-1</f>
        <v>-0.27227227227227224</v>
      </c>
      <c r="O8" s="545">
        <v>2677</v>
      </c>
      <c r="P8" s="5">
        <f t="shared" ref="P8:P12" si="10">((O8/$B8))-1</f>
        <v>-0.33008008008008005</v>
      </c>
      <c r="Q8" s="545">
        <v>2809</v>
      </c>
      <c r="R8" s="5">
        <f t="shared" ref="R8:R13" si="11">((Q8/$B8))-1</f>
        <v>-0.2970470470470471</v>
      </c>
      <c r="S8" s="568">
        <v>2968</v>
      </c>
      <c r="T8" s="576">
        <f t="shared" si="0"/>
        <v>0.74274274274274277</v>
      </c>
      <c r="U8" s="568">
        <v>2456</v>
      </c>
      <c r="V8" s="576">
        <f t="shared" si="1"/>
        <v>0.61461461461461464</v>
      </c>
      <c r="W8" s="568">
        <v>2618</v>
      </c>
      <c r="X8" s="576">
        <f t="shared" si="2"/>
        <v>0.6551551551551551</v>
      </c>
      <c r="Y8" s="568">
        <v>2912</v>
      </c>
      <c r="Z8" s="576">
        <f t="shared" si="3"/>
        <v>0.72872872872872874</v>
      </c>
    </row>
    <row r="9" spans="1:26" x14ac:dyDescent="0.25">
      <c r="A9" s="218" t="s">
        <v>11</v>
      </c>
      <c r="B9" s="219">
        <v>789</v>
      </c>
      <c r="C9" s="568">
        <v>182</v>
      </c>
      <c r="D9" s="420">
        <f t="shared" si="4"/>
        <v>-0.76932826362484152</v>
      </c>
      <c r="E9" s="568">
        <v>303</v>
      </c>
      <c r="F9" s="420">
        <f t="shared" si="5"/>
        <v>-0.61596958174904937</v>
      </c>
      <c r="G9" s="266">
        <v>477</v>
      </c>
      <c r="H9" s="5">
        <f t="shared" si="6"/>
        <v>-0.3954372623574145</v>
      </c>
      <c r="I9" s="545">
        <v>521</v>
      </c>
      <c r="J9" s="5">
        <f t="shared" si="7"/>
        <v>-0.33967046894803554</v>
      </c>
      <c r="K9" s="545">
        <v>537</v>
      </c>
      <c r="L9" s="5">
        <f t="shared" si="8"/>
        <v>-0.31939163498098855</v>
      </c>
      <c r="M9" s="545">
        <v>405</v>
      </c>
      <c r="N9" s="5">
        <f t="shared" si="9"/>
        <v>-0.48669201520912553</v>
      </c>
      <c r="O9" s="545">
        <v>590</v>
      </c>
      <c r="P9" s="5">
        <f t="shared" si="10"/>
        <v>-0.25221799746514573</v>
      </c>
      <c r="Q9" s="545">
        <v>613</v>
      </c>
      <c r="R9" s="5">
        <f t="shared" si="11"/>
        <v>-0.22306717363751583</v>
      </c>
      <c r="S9" s="568">
        <v>550</v>
      </c>
      <c r="T9" s="576">
        <f t="shared" si="0"/>
        <v>0.69708491761723701</v>
      </c>
      <c r="U9" s="568">
        <v>634</v>
      </c>
      <c r="V9" s="576">
        <f t="shared" si="1"/>
        <v>0.80354879594423323</v>
      </c>
      <c r="W9" s="568">
        <v>648</v>
      </c>
      <c r="X9" s="576">
        <f t="shared" si="2"/>
        <v>0.82129277566539927</v>
      </c>
      <c r="Y9" s="568">
        <v>665</v>
      </c>
      <c r="Z9" s="576">
        <f t="shared" si="3"/>
        <v>0.84283903675538652</v>
      </c>
    </row>
    <row r="10" spans="1:26" x14ac:dyDescent="0.25">
      <c r="A10" s="220" t="s">
        <v>43</v>
      </c>
      <c r="B10" s="221">
        <v>526</v>
      </c>
      <c r="C10" s="568">
        <v>393</v>
      </c>
      <c r="D10" s="420">
        <f t="shared" si="4"/>
        <v>-0.25285171102661597</v>
      </c>
      <c r="E10" s="568">
        <v>278</v>
      </c>
      <c r="F10" s="420">
        <f t="shared" si="5"/>
        <v>-0.47148288973384034</v>
      </c>
      <c r="G10" s="266">
        <v>400</v>
      </c>
      <c r="H10" s="5">
        <f t="shared" ref="H10" si="12">((G10/$B10))-1</f>
        <v>-0.23954372623574149</v>
      </c>
      <c r="I10" s="545">
        <v>444</v>
      </c>
      <c r="J10" s="5">
        <f t="shared" ref="J10" si="13">((I10/$B10))-1</f>
        <v>-0.155893536121673</v>
      </c>
      <c r="K10" s="545">
        <v>434</v>
      </c>
      <c r="L10" s="5">
        <f t="shared" ref="L10" si="14">((K10/$B10))-1</f>
        <v>-0.17490494296577952</v>
      </c>
      <c r="M10" s="545">
        <v>488</v>
      </c>
      <c r="N10" s="5">
        <f t="shared" ref="N10" si="15">((M10/$B10))-1</f>
        <v>-7.2243346007604514E-2</v>
      </c>
      <c r="O10" s="545">
        <v>441</v>
      </c>
      <c r="P10" s="5">
        <f t="shared" ref="P10" si="16">((O10/$B10))-1</f>
        <v>-0.16159695817490494</v>
      </c>
      <c r="Q10" s="545">
        <v>589</v>
      </c>
      <c r="R10" s="5">
        <f t="shared" ref="R10" si="17">((Q10/$B10))-1</f>
        <v>0.1197718631178708</v>
      </c>
      <c r="S10" s="568">
        <v>415</v>
      </c>
      <c r="T10" s="576">
        <f t="shared" si="0"/>
        <v>0.78897338403041828</v>
      </c>
      <c r="U10" s="568">
        <v>444</v>
      </c>
      <c r="V10" s="576">
        <f t="shared" si="1"/>
        <v>0.844106463878327</v>
      </c>
      <c r="W10" s="568">
        <v>447</v>
      </c>
      <c r="X10" s="576">
        <f t="shared" si="2"/>
        <v>0.84980988593155893</v>
      </c>
      <c r="Y10" s="568">
        <v>366</v>
      </c>
      <c r="Z10" s="576">
        <f t="shared" si="3"/>
        <v>0.69581749049429653</v>
      </c>
    </row>
    <row r="11" spans="1:26" x14ac:dyDescent="0.25">
      <c r="A11" s="220" t="s">
        <v>13</v>
      </c>
      <c r="B11" s="221"/>
      <c r="C11" s="570">
        <v>106</v>
      </c>
      <c r="D11" s="560" t="e">
        <f t="shared" si="4"/>
        <v>#DIV/0!</v>
      </c>
      <c r="E11" s="568">
        <v>94</v>
      </c>
      <c r="F11" s="560" t="e">
        <f t="shared" si="5"/>
        <v>#DIV/0!</v>
      </c>
      <c r="G11" s="266">
        <v>119</v>
      </c>
      <c r="H11" s="416" t="e">
        <f t="shared" ref="H11" si="18">((G11/$B11))-1</f>
        <v>#DIV/0!</v>
      </c>
      <c r="I11" s="545">
        <v>62</v>
      </c>
      <c r="J11" s="416" t="e">
        <f t="shared" ref="J11" si="19">((I11/$B11))-1</f>
        <v>#DIV/0!</v>
      </c>
      <c r="K11" s="545">
        <v>79</v>
      </c>
      <c r="L11" s="416" t="e">
        <f t="shared" ref="L11" si="20">((K11/$B11))-1</f>
        <v>#DIV/0!</v>
      </c>
      <c r="M11" s="545">
        <v>94</v>
      </c>
      <c r="N11" s="416" t="e">
        <f t="shared" ref="N11" si="21">((M11/$B11))-1</f>
        <v>#DIV/0!</v>
      </c>
      <c r="O11" s="545">
        <v>89</v>
      </c>
      <c r="P11" s="416" t="e">
        <f t="shared" ref="P11" si="22">((O11/$B11))-1</f>
        <v>#DIV/0!</v>
      </c>
      <c r="Q11" s="545">
        <v>53</v>
      </c>
      <c r="R11" s="416" t="e">
        <f t="shared" ref="R11" si="23">((Q11/$B11))-1</f>
        <v>#DIV/0!</v>
      </c>
      <c r="S11" s="568">
        <v>65</v>
      </c>
      <c r="T11" s="576" t="e">
        <f t="shared" si="0"/>
        <v>#DIV/0!</v>
      </c>
      <c r="U11" s="568">
        <v>97</v>
      </c>
      <c r="V11" s="576" t="e">
        <f t="shared" si="1"/>
        <v>#DIV/0!</v>
      </c>
      <c r="W11" s="568">
        <v>79</v>
      </c>
      <c r="X11" s="576" t="e">
        <f t="shared" si="2"/>
        <v>#DIV/0!</v>
      </c>
      <c r="Y11" s="568">
        <v>124</v>
      </c>
      <c r="Z11" s="576" t="e">
        <f t="shared" si="3"/>
        <v>#DIV/0!</v>
      </c>
    </row>
    <row r="12" spans="1:26" ht="15.75" thickBot="1" x14ac:dyDescent="0.3">
      <c r="A12" s="222" t="s">
        <v>14</v>
      </c>
      <c r="B12" s="223">
        <v>526</v>
      </c>
      <c r="C12" s="574">
        <v>307</v>
      </c>
      <c r="D12" s="575">
        <f t="shared" si="4"/>
        <v>-0.41634980988593151</v>
      </c>
      <c r="E12" s="578">
        <v>402</v>
      </c>
      <c r="F12" s="575">
        <f t="shared" si="5"/>
        <v>-0.23574144486692017</v>
      </c>
      <c r="G12" s="266">
        <v>483</v>
      </c>
      <c r="H12" s="224">
        <f t="shared" si="6"/>
        <v>-8.1749049429657772E-2</v>
      </c>
      <c r="I12" s="546">
        <v>272</v>
      </c>
      <c r="J12" s="224">
        <f t="shared" si="7"/>
        <v>-0.4828897338403042</v>
      </c>
      <c r="K12" s="546">
        <v>281</v>
      </c>
      <c r="L12" s="224">
        <f t="shared" si="8"/>
        <v>-0.46577946768060841</v>
      </c>
      <c r="M12" s="546">
        <v>310</v>
      </c>
      <c r="N12" s="224">
        <f t="shared" si="9"/>
        <v>-0.41064638783269958</v>
      </c>
      <c r="O12" s="546">
        <v>116</v>
      </c>
      <c r="P12" s="224">
        <f t="shared" si="10"/>
        <v>-0.77946768060836502</v>
      </c>
      <c r="Q12" s="546">
        <v>475</v>
      </c>
      <c r="R12" s="224">
        <f t="shared" si="11"/>
        <v>-9.6958174904942962E-2</v>
      </c>
      <c r="S12" s="568">
        <v>504</v>
      </c>
      <c r="T12" s="599">
        <f t="shared" si="0"/>
        <v>0.95817490494296575</v>
      </c>
      <c r="U12" s="578">
        <v>492</v>
      </c>
      <c r="V12" s="599">
        <f t="shared" si="1"/>
        <v>0.93536121673003803</v>
      </c>
      <c r="W12" s="578">
        <v>459</v>
      </c>
      <c r="X12" s="599">
        <f t="shared" si="2"/>
        <v>0.87262357414448666</v>
      </c>
      <c r="Y12" s="578">
        <v>409</v>
      </c>
      <c r="Z12" s="599">
        <f t="shared" si="3"/>
        <v>0.77756653992395441</v>
      </c>
    </row>
    <row r="13" spans="1:26" ht="15.75" thickBot="1" x14ac:dyDescent="0.3">
      <c r="A13" s="68" t="s">
        <v>7</v>
      </c>
      <c r="B13" s="72">
        <f>SUM(B7:B12)</f>
        <v>6836</v>
      </c>
      <c r="C13" s="76">
        <f>SUM(C7:C12)</f>
        <v>3407</v>
      </c>
      <c r="D13" s="90">
        <f>((C13/$B13))-1</f>
        <v>-0.50160912814511405</v>
      </c>
      <c r="E13" s="76">
        <f>SUM(E7:E12)</f>
        <v>3721</v>
      </c>
      <c r="F13" s="90">
        <f t="shared" si="5"/>
        <v>-0.4556758338209479</v>
      </c>
      <c r="G13" s="76">
        <f>SUM(G7:G12)</f>
        <v>5155</v>
      </c>
      <c r="H13" s="90">
        <f t="shared" si="6"/>
        <v>-0.24590403744880052</v>
      </c>
      <c r="I13" s="76">
        <f>SUM(I7:I12)</f>
        <v>4110</v>
      </c>
      <c r="J13" s="90">
        <f>((I13/$B13))-1</f>
        <v>-0.3987712112346401</v>
      </c>
      <c r="K13" s="76">
        <f>SUM(K7:K12)</f>
        <v>4670</v>
      </c>
      <c r="L13" s="90">
        <f t="shared" si="8"/>
        <v>-0.31685196021064954</v>
      </c>
      <c r="M13" s="76">
        <f>SUM(M7:M12)</f>
        <v>4883</v>
      </c>
      <c r="N13" s="90">
        <f>((M13/$B13))-1</f>
        <v>-0.28569338794616739</v>
      </c>
      <c r="O13" s="76">
        <f>SUM(O7:O12)</f>
        <v>4607</v>
      </c>
      <c r="P13" s="90">
        <f>((O13/$B13))-1</f>
        <v>-0.32606787595084841</v>
      </c>
      <c r="Q13" s="76">
        <f>SUM(Q7:Q12)</f>
        <v>5227</v>
      </c>
      <c r="R13" s="90">
        <f t="shared" si="11"/>
        <v>-0.23537156231714451</v>
      </c>
      <c r="S13" s="573">
        <f>SUM(S7:S12)</f>
        <v>5212</v>
      </c>
      <c r="T13" s="561">
        <f t="shared" si="0"/>
        <v>0.76243417203042718</v>
      </c>
      <c r="U13" s="573">
        <f>SUM(U7:U12)</f>
        <v>4695</v>
      </c>
      <c r="V13" s="561">
        <f t="shared" si="1"/>
        <v>0.68680514921006441</v>
      </c>
      <c r="W13" s="573">
        <f>SUM(W7:W12)</f>
        <v>4883</v>
      </c>
      <c r="X13" s="561">
        <f t="shared" si="2"/>
        <v>0.71430661205383261</v>
      </c>
      <c r="Y13" s="573">
        <f>SUM(Y7:Y12)</f>
        <v>5117</v>
      </c>
      <c r="Z13" s="561">
        <f t="shared" si="3"/>
        <v>0.74853715623171446</v>
      </c>
    </row>
  </sheetData>
  <mergeCells count="3">
    <mergeCell ref="A5:Z5"/>
    <mergeCell ref="A3:Z3"/>
    <mergeCell ref="A2:Z2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Z12"/>
  <sheetViews>
    <sheetView workbookViewId="0"/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7.140625" bestFit="1" customWidth="1"/>
    <col min="5" max="5" width="5.42578125" bestFit="1" customWidth="1"/>
    <col min="6" max="6" width="7.140625" bestFit="1" customWidth="1"/>
    <col min="7" max="7" width="5.42578125" bestFit="1" customWidth="1"/>
    <col min="8" max="8" width="7.140625" bestFit="1" customWidth="1"/>
    <col min="9" max="9" width="5.42578125" bestFit="1" customWidth="1"/>
    <col min="10" max="10" width="7.140625" bestFit="1" customWidth="1"/>
    <col min="11" max="11" width="5.42578125" bestFit="1" customWidth="1"/>
    <col min="12" max="12" width="7.140625" bestFit="1" customWidth="1"/>
    <col min="13" max="13" width="5.42578125" bestFit="1" customWidth="1"/>
    <col min="14" max="14" width="7.140625" bestFit="1" customWidth="1"/>
    <col min="15" max="15" width="5.42578125" bestFit="1" customWidth="1"/>
    <col min="16" max="16" width="8.140625" bestFit="1" customWidth="1"/>
    <col min="17" max="17" width="5.42578125" bestFit="1" customWidth="1"/>
    <col min="18" max="18" width="8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6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648" t="s">
        <v>363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</row>
    <row r="3" spans="1:26" ht="18" x14ac:dyDescent="0.35">
      <c r="A3" s="648" t="s">
        <v>331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374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204" t="s">
        <v>15</v>
      </c>
      <c r="B6" s="205" t="s">
        <v>16</v>
      </c>
      <c r="C6" s="579" t="s">
        <v>327</v>
      </c>
      <c r="D6" s="580" t="s">
        <v>1</v>
      </c>
      <c r="E6" s="579" t="s">
        <v>328</v>
      </c>
      <c r="F6" s="580" t="s">
        <v>1</v>
      </c>
      <c r="G6" s="534" t="s">
        <v>349</v>
      </c>
      <c r="H6" s="535" t="s">
        <v>1</v>
      </c>
      <c r="I6" s="534" t="s">
        <v>350</v>
      </c>
      <c r="J6" s="535" t="s">
        <v>1</v>
      </c>
      <c r="K6" s="534" t="s">
        <v>351</v>
      </c>
      <c r="L6" s="535" t="s">
        <v>1</v>
      </c>
      <c r="M6" s="534" t="s">
        <v>353</v>
      </c>
      <c r="N6" s="535" t="s">
        <v>1</v>
      </c>
      <c r="O6" s="534" t="s">
        <v>354</v>
      </c>
      <c r="P6" s="535" t="s">
        <v>1</v>
      </c>
      <c r="Q6" s="534" t="s">
        <v>2</v>
      </c>
      <c r="R6" s="535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5.75" thickTop="1" x14ac:dyDescent="0.25">
      <c r="A7" s="206" t="s">
        <v>9</v>
      </c>
      <c r="B7" s="1">
        <v>666</v>
      </c>
      <c r="C7" s="418">
        <v>520</v>
      </c>
      <c r="D7" s="420">
        <f>((C7/$B7))-1</f>
        <v>-0.21921921921921927</v>
      </c>
      <c r="E7" s="418">
        <v>511</v>
      </c>
      <c r="F7" s="420">
        <f>((E7/$B7))-1</f>
        <v>-0.23273273273273276</v>
      </c>
      <c r="G7" s="2">
        <v>584</v>
      </c>
      <c r="H7" s="5">
        <f>((G7/$B7))-1</f>
        <v>-0.12312312312312312</v>
      </c>
      <c r="I7" s="418">
        <v>545</v>
      </c>
      <c r="J7" s="5">
        <f>((I7/$B7))-1</f>
        <v>-0.18168168168168164</v>
      </c>
      <c r="K7" s="418">
        <v>522</v>
      </c>
      <c r="L7" s="5">
        <f>((K7/$B7))-1</f>
        <v>-0.21621621621621623</v>
      </c>
      <c r="M7" s="418">
        <v>721</v>
      </c>
      <c r="N7" s="5">
        <f>((M7/$B7))-1</f>
        <v>8.2582582582582553E-2</v>
      </c>
      <c r="O7" s="2">
        <v>694</v>
      </c>
      <c r="P7" s="5">
        <f>((O7/$B7))-1</f>
        <v>4.2042042042041983E-2</v>
      </c>
      <c r="Q7" s="2">
        <v>688</v>
      </c>
      <c r="R7" s="5">
        <f>((Q7/$B7))-1</f>
        <v>3.3033033033033066E-2</v>
      </c>
      <c r="S7" s="418">
        <v>549</v>
      </c>
      <c r="T7" s="420">
        <f t="shared" ref="T7:T12" si="0">S7/$B7</f>
        <v>0.82432432432432434</v>
      </c>
      <c r="U7" s="418">
        <v>490</v>
      </c>
      <c r="V7" s="420">
        <f t="shared" ref="V7:V12" si="1">U7/$B7</f>
        <v>0.7357357357357357</v>
      </c>
      <c r="W7" s="418">
        <v>632</v>
      </c>
      <c r="X7" s="420">
        <f t="shared" ref="X7:X12" si="2">W7/$B7</f>
        <v>0.94894894894894899</v>
      </c>
      <c r="Y7" s="418">
        <v>553</v>
      </c>
      <c r="Z7" s="420">
        <f t="shared" ref="Z7:Z12" si="3">Y7/$B7</f>
        <v>0.83033033033033032</v>
      </c>
    </row>
    <row r="8" spans="1:26" x14ac:dyDescent="0.25">
      <c r="A8" s="206" t="s">
        <v>10</v>
      </c>
      <c r="B8" s="207">
        <v>2664</v>
      </c>
      <c r="C8" s="568">
        <v>2020</v>
      </c>
      <c r="D8" s="420">
        <f t="shared" ref="D8:D12" si="4">((C8/$B8))-1</f>
        <v>-0.24174174174174179</v>
      </c>
      <c r="E8" s="568">
        <v>2136</v>
      </c>
      <c r="F8" s="420">
        <f t="shared" ref="F8:F12" si="5">((E8/$B8))-1</f>
        <v>-0.19819819819819817</v>
      </c>
      <c r="G8" s="208">
        <v>2680</v>
      </c>
      <c r="H8" s="5">
        <f t="shared" ref="H8:H12" si="6">((G8/$B8))-1</f>
        <v>6.0060060060060927E-3</v>
      </c>
      <c r="I8" s="545">
        <v>2541</v>
      </c>
      <c r="J8" s="5">
        <f t="shared" ref="J8:J12" si="7">((I8/$B8))-1</f>
        <v>-4.6171171171171199E-2</v>
      </c>
      <c r="K8" s="545">
        <v>2852</v>
      </c>
      <c r="L8" s="5">
        <f t="shared" ref="L8:L12" si="8">((K8/$B8))-1</f>
        <v>7.057057057057059E-2</v>
      </c>
      <c r="M8" s="545">
        <v>3097</v>
      </c>
      <c r="N8" s="5">
        <f t="shared" ref="N8:N12" si="9">((M8/$B8))-1</f>
        <v>0.16253753753753752</v>
      </c>
      <c r="O8" s="208">
        <v>2677</v>
      </c>
      <c r="P8" s="5">
        <f t="shared" ref="P8:P12" si="10">((O8/$B8))-1</f>
        <v>4.8798798798799226E-3</v>
      </c>
      <c r="Q8" s="208">
        <v>2809</v>
      </c>
      <c r="R8" s="5">
        <f t="shared" ref="R8:R12" si="11">((Q8/$B8))-1</f>
        <v>5.442942942942941E-2</v>
      </c>
      <c r="S8" s="568">
        <v>2912</v>
      </c>
      <c r="T8" s="576">
        <f t="shared" si="0"/>
        <v>1.0930930930930931</v>
      </c>
      <c r="U8" s="568">
        <v>2586</v>
      </c>
      <c r="V8" s="576">
        <f t="shared" si="1"/>
        <v>0.97072072072072069</v>
      </c>
      <c r="W8" s="568">
        <v>3227</v>
      </c>
      <c r="X8" s="576">
        <f t="shared" si="2"/>
        <v>1.2113363363363363</v>
      </c>
      <c r="Y8" s="568">
        <v>2927</v>
      </c>
      <c r="Z8" s="576">
        <f t="shared" si="3"/>
        <v>1.0987237237237237</v>
      </c>
    </row>
    <row r="9" spans="1:26" x14ac:dyDescent="0.25">
      <c r="A9" s="206" t="s">
        <v>11</v>
      </c>
      <c r="B9" s="207">
        <v>526</v>
      </c>
      <c r="C9" s="568">
        <v>530</v>
      </c>
      <c r="D9" s="420">
        <f t="shared" si="4"/>
        <v>7.6045627376426506E-3</v>
      </c>
      <c r="E9" s="568">
        <v>487</v>
      </c>
      <c r="F9" s="420">
        <f t="shared" si="5"/>
        <v>-7.4144486692015232E-2</v>
      </c>
      <c r="G9" s="208">
        <v>642</v>
      </c>
      <c r="H9" s="5">
        <f t="shared" si="6"/>
        <v>0.22053231939163509</v>
      </c>
      <c r="I9" s="545">
        <v>539</v>
      </c>
      <c r="J9" s="5">
        <f t="shared" si="7"/>
        <v>2.4714828897338448E-2</v>
      </c>
      <c r="K9" s="545">
        <v>552</v>
      </c>
      <c r="L9" s="5">
        <f t="shared" si="8"/>
        <v>4.9429657794676896E-2</v>
      </c>
      <c r="M9" s="545">
        <v>319</v>
      </c>
      <c r="N9" s="5">
        <f t="shared" si="9"/>
        <v>-0.39353612167300378</v>
      </c>
      <c r="O9" s="208">
        <v>513</v>
      </c>
      <c r="P9" s="5">
        <f t="shared" si="10"/>
        <v>-2.4714828897338448E-2</v>
      </c>
      <c r="Q9" s="208">
        <v>613</v>
      </c>
      <c r="R9" s="5">
        <f t="shared" si="11"/>
        <v>0.16539923954372626</v>
      </c>
      <c r="S9" s="568">
        <v>564</v>
      </c>
      <c r="T9" s="576">
        <f t="shared" si="0"/>
        <v>1.0722433460076046</v>
      </c>
      <c r="U9" s="568">
        <v>517</v>
      </c>
      <c r="V9" s="576">
        <f t="shared" si="1"/>
        <v>0.9828897338403042</v>
      </c>
      <c r="W9" s="568">
        <v>493</v>
      </c>
      <c r="X9" s="576">
        <f t="shared" si="2"/>
        <v>0.93726235741444863</v>
      </c>
      <c r="Y9" s="568">
        <v>369</v>
      </c>
      <c r="Z9" s="576">
        <f t="shared" si="3"/>
        <v>0.70152091254752846</v>
      </c>
    </row>
    <row r="10" spans="1:26" x14ac:dyDescent="0.25">
      <c r="A10" s="209" t="s">
        <v>43</v>
      </c>
      <c r="B10" s="210">
        <v>526</v>
      </c>
      <c r="C10" s="570">
        <v>291</v>
      </c>
      <c r="D10" s="560">
        <f t="shared" si="4"/>
        <v>-0.44676806083650189</v>
      </c>
      <c r="E10" s="568">
        <v>290</v>
      </c>
      <c r="F10" s="560">
        <f t="shared" si="5"/>
        <v>-0.4486692015209125</v>
      </c>
      <c r="G10" s="211">
        <v>433</v>
      </c>
      <c r="H10" s="62">
        <f t="shared" si="6"/>
        <v>-0.17680608365019013</v>
      </c>
      <c r="I10" s="545">
        <v>467</v>
      </c>
      <c r="J10" s="62">
        <f t="shared" si="7"/>
        <v>-0.11216730038022815</v>
      </c>
      <c r="K10" s="545">
        <v>419</v>
      </c>
      <c r="L10" s="62">
        <f t="shared" si="8"/>
        <v>-0.20342205323193918</v>
      </c>
      <c r="M10" s="545">
        <v>405</v>
      </c>
      <c r="N10" s="62">
        <f t="shared" si="9"/>
        <v>-0.23003802281368824</v>
      </c>
      <c r="O10" s="211">
        <v>589</v>
      </c>
      <c r="P10" s="302">
        <f t="shared" si="10"/>
        <v>0.1197718631178708</v>
      </c>
      <c r="Q10" s="211">
        <v>589</v>
      </c>
      <c r="R10" s="302">
        <f t="shared" si="11"/>
        <v>0.1197718631178708</v>
      </c>
      <c r="S10" s="570">
        <v>294</v>
      </c>
      <c r="T10" s="576">
        <f t="shared" si="0"/>
        <v>0.55893536121673004</v>
      </c>
      <c r="U10" s="568">
        <v>326</v>
      </c>
      <c r="V10" s="576">
        <f t="shared" si="1"/>
        <v>0.61977186311787069</v>
      </c>
      <c r="W10" s="568">
        <v>321</v>
      </c>
      <c r="X10" s="576">
        <f t="shared" si="2"/>
        <v>0.61026615969581754</v>
      </c>
      <c r="Y10" s="568">
        <v>304</v>
      </c>
      <c r="Z10" s="576">
        <f t="shared" si="3"/>
        <v>0.57794676806083645</v>
      </c>
    </row>
    <row r="11" spans="1:26" ht="15.75" thickBot="1" x14ac:dyDescent="0.3">
      <c r="A11" s="212" t="s">
        <v>14</v>
      </c>
      <c r="B11" s="213">
        <v>526</v>
      </c>
      <c r="C11" s="574">
        <v>202</v>
      </c>
      <c r="D11" s="575">
        <f t="shared" si="4"/>
        <v>-0.61596958174904937</v>
      </c>
      <c r="E11" s="578">
        <v>187</v>
      </c>
      <c r="F11" s="575">
        <f t="shared" si="5"/>
        <v>-0.64448669201520914</v>
      </c>
      <c r="G11" s="214">
        <v>327</v>
      </c>
      <c r="H11" s="215">
        <f t="shared" si="6"/>
        <v>-0.37832699619771859</v>
      </c>
      <c r="I11" s="546">
        <v>415</v>
      </c>
      <c r="J11" s="215">
        <f t="shared" si="7"/>
        <v>-0.21102661596958172</v>
      </c>
      <c r="K11" s="546">
        <v>544</v>
      </c>
      <c r="L11" s="215">
        <f t="shared" si="8"/>
        <v>3.4220532319391594E-2</v>
      </c>
      <c r="M11" s="546">
        <v>451</v>
      </c>
      <c r="N11" s="215">
        <f t="shared" si="9"/>
        <v>-0.14258555133079853</v>
      </c>
      <c r="O11" s="214">
        <v>475</v>
      </c>
      <c r="P11" s="215">
        <f t="shared" si="10"/>
        <v>-9.6958174904942962E-2</v>
      </c>
      <c r="Q11" s="214">
        <v>475</v>
      </c>
      <c r="R11" s="215">
        <f t="shared" si="11"/>
        <v>-9.6958174904942962E-2</v>
      </c>
      <c r="S11" s="578">
        <v>250</v>
      </c>
      <c r="T11" s="599">
        <f t="shared" si="0"/>
        <v>0.47528517110266161</v>
      </c>
      <c r="U11" s="578">
        <v>224</v>
      </c>
      <c r="V11" s="599">
        <f t="shared" si="1"/>
        <v>0.42585551330798477</v>
      </c>
      <c r="W11" s="578">
        <v>193</v>
      </c>
      <c r="X11" s="599">
        <f t="shared" si="2"/>
        <v>0.36692015209125473</v>
      </c>
      <c r="Y11" s="578">
        <v>243</v>
      </c>
      <c r="Z11" s="599">
        <f t="shared" si="3"/>
        <v>0.46197718631178708</v>
      </c>
    </row>
    <row r="12" spans="1:26" ht="15.75" thickBot="1" x14ac:dyDescent="0.3">
      <c r="A12" s="68" t="s">
        <v>7</v>
      </c>
      <c r="B12" s="72">
        <f>SUM(B7:B11)</f>
        <v>4908</v>
      </c>
      <c r="C12" s="76">
        <f>SUM(C7:C11)</f>
        <v>3563</v>
      </c>
      <c r="D12" s="90">
        <f t="shared" si="4"/>
        <v>-0.27404237978810109</v>
      </c>
      <c r="E12" s="76">
        <f>SUM(E7:E11)</f>
        <v>3611</v>
      </c>
      <c r="F12" s="90">
        <f t="shared" si="5"/>
        <v>-0.26426242868785654</v>
      </c>
      <c r="G12" s="76">
        <f>SUM(G7:G11)</f>
        <v>4666</v>
      </c>
      <c r="H12" s="90">
        <f t="shared" si="6"/>
        <v>-4.9307253463732659E-2</v>
      </c>
      <c r="I12" s="76">
        <f>SUM(I7:I11)</f>
        <v>4507</v>
      </c>
      <c r="J12" s="90">
        <f t="shared" si="7"/>
        <v>-8.1703341483292613E-2</v>
      </c>
      <c r="K12" s="76">
        <f>SUM(K7:K11)</f>
        <v>4889</v>
      </c>
      <c r="L12" s="90">
        <f t="shared" si="8"/>
        <v>-3.871230643846757E-3</v>
      </c>
      <c r="M12" s="76">
        <f>SUM(M7:M11)</f>
        <v>4993</v>
      </c>
      <c r="N12" s="90">
        <f t="shared" si="9"/>
        <v>1.7318663406682866E-2</v>
      </c>
      <c r="O12" s="76">
        <f>SUM(O7:O11)</f>
        <v>4948</v>
      </c>
      <c r="P12" s="90">
        <f t="shared" si="10"/>
        <v>8.1499592502036755E-3</v>
      </c>
      <c r="Q12" s="76">
        <f>SUM(Q7:Q11)</f>
        <v>5174</v>
      </c>
      <c r="R12" s="90">
        <f t="shared" si="11"/>
        <v>5.4197229013855042E-2</v>
      </c>
      <c r="S12" s="573">
        <f>SUM(S7:S11)</f>
        <v>4569</v>
      </c>
      <c r="T12" s="561">
        <f t="shared" si="0"/>
        <v>0.93092909535452317</v>
      </c>
      <c r="U12" s="573">
        <f>SUM(U7:U11)</f>
        <v>4143</v>
      </c>
      <c r="V12" s="561">
        <f t="shared" si="1"/>
        <v>0.84413202933985332</v>
      </c>
      <c r="W12" s="573">
        <f>SUM(W7:W11)</f>
        <v>4866</v>
      </c>
      <c r="X12" s="561">
        <f t="shared" si="2"/>
        <v>0.99144254278728605</v>
      </c>
      <c r="Y12" s="573">
        <f>SUM(Y7:Y11)</f>
        <v>4396</v>
      </c>
      <c r="Z12" s="561">
        <f t="shared" si="3"/>
        <v>0.89568052159739198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Z12"/>
  <sheetViews>
    <sheetView workbookViewId="0"/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8.140625" bestFit="1" customWidth="1"/>
    <col min="5" max="5" width="5.42578125" bestFit="1" customWidth="1"/>
    <col min="6" max="6" width="8.140625" bestFit="1" customWidth="1"/>
    <col min="7" max="7" width="5.42578125" bestFit="1" customWidth="1"/>
    <col min="8" max="8" width="7.140625" bestFit="1" customWidth="1"/>
    <col min="9" max="9" width="5.42578125" bestFit="1" customWidth="1"/>
    <col min="10" max="10" width="7.140625" bestFit="1" customWidth="1"/>
    <col min="11" max="11" width="5.42578125" bestFit="1" customWidth="1"/>
    <col min="12" max="12" width="7.140625" bestFit="1" customWidth="1"/>
    <col min="13" max="13" width="5.42578125" bestFit="1" customWidth="1"/>
    <col min="14" max="14" width="7.140625" bestFit="1" customWidth="1"/>
    <col min="15" max="15" width="5.42578125" bestFit="1" customWidth="1"/>
    <col min="16" max="16" width="7.140625" bestFit="1" customWidth="1"/>
    <col min="17" max="17" width="5.42578125" bestFit="1" customWidth="1"/>
    <col min="18" max="18" width="7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6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648" t="s">
        <v>363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</row>
    <row r="3" spans="1:26" ht="18" x14ac:dyDescent="0.35">
      <c r="A3" s="648" t="s">
        <v>0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373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192" t="s">
        <v>15</v>
      </c>
      <c r="B6" s="193" t="s">
        <v>16</v>
      </c>
      <c r="C6" s="579" t="s">
        <v>327</v>
      </c>
      <c r="D6" s="580" t="s">
        <v>1</v>
      </c>
      <c r="E6" s="579" t="s">
        <v>328</v>
      </c>
      <c r="F6" s="580" t="s">
        <v>1</v>
      </c>
      <c r="G6" s="534" t="s">
        <v>349</v>
      </c>
      <c r="H6" s="535" t="s">
        <v>1</v>
      </c>
      <c r="I6" s="534" t="s">
        <v>350</v>
      </c>
      <c r="J6" s="535" t="s">
        <v>1</v>
      </c>
      <c r="K6" s="534" t="s">
        <v>351</v>
      </c>
      <c r="L6" s="535" t="s">
        <v>1</v>
      </c>
      <c r="M6" s="534" t="s">
        <v>353</v>
      </c>
      <c r="N6" s="535" t="s">
        <v>1</v>
      </c>
      <c r="O6" s="534" t="s">
        <v>354</v>
      </c>
      <c r="P6" s="535" t="s">
        <v>1</v>
      </c>
      <c r="Q6" s="534" t="s">
        <v>2</v>
      </c>
      <c r="R6" s="535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5.75" thickTop="1" x14ac:dyDescent="0.25">
      <c r="A7" s="194" t="s">
        <v>9</v>
      </c>
      <c r="B7" s="1">
        <v>666</v>
      </c>
      <c r="C7" s="418">
        <v>541</v>
      </c>
      <c r="D7" s="420">
        <f>((C7/$B7))-1</f>
        <v>-0.18768768768768773</v>
      </c>
      <c r="E7" s="418">
        <v>536</v>
      </c>
      <c r="F7" s="420">
        <f>((E7/$B7))-1</f>
        <v>-0.19519519519519524</v>
      </c>
      <c r="G7" s="2">
        <v>546</v>
      </c>
      <c r="H7" s="5">
        <f>((G7/$B7))-1</f>
        <v>-0.18018018018018023</v>
      </c>
      <c r="I7" s="418">
        <v>580</v>
      </c>
      <c r="J7" s="5">
        <f>((I7/$B7))-1</f>
        <v>-0.12912912912912911</v>
      </c>
      <c r="K7" s="418">
        <v>553</v>
      </c>
      <c r="L7" s="5">
        <f>((K7/$B7))-1</f>
        <v>-0.16966966966966968</v>
      </c>
      <c r="M7" s="418">
        <v>597</v>
      </c>
      <c r="N7" s="5">
        <f>((M7/$B7))-1</f>
        <v>-0.10360360360360366</v>
      </c>
      <c r="O7" s="2">
        <v>726</v>
      </c>
      <c r="P7" s="5">
        <f>((O7/$B7))-1</f>
        <v>9.0090090090090058E-2</v>
      </c>
      <c r="Q7" s="418">
        <v>830</v>
      </c>
      <c r="R7" s="5">
        <f>((Q7/$B7))-1</f>
        <v>0.24624624624624625</v>
      </c>
      <c r="S7" s="418">
        <v>780</v>
      </c>
      <c r="T7" s="420">
        <f t="shared" ref="T7:T12" si="0">S7/$B7</f>
        <v>1.1711711711711712</v>
      </c>
      <c r="U7" s="418">
        <v>626</v>
      </c>
      <c r="V7" s="420">
        <f t="shared" ref="V7:V12" si="1">U7/$B7</f>
        <v>0.93993993993993996</v>
      </c>
      <c r="W7" s="418">
        <v>691</v>
      </c>
      <c r="X7" s="420">
        <f t="shared" ref="X7:X12" si="2">W7/$B7</f>
        <v>1.0375375375375375</v>
      </c>
      <c r="Y7" s="418">
        <v>670</v>
      </c>
      <c r="Z7" s="420">
        <f t="shared" ref="Z7:Z12" si="3">Y7/$B7</f>
        <v>1.0060060060060061</v>
      </c>
    </row>
    <row r="8" spans="1:26" x14ac:dyDescent="0.25">
      <c r="A8" s="194" t="s">
        <v>10</v>
      </c>
      <c r="B8" s="195">
        <v>2664</v>
      </c>
      <c r="C8" s="568">
        <v>2192</v>
      </c>
      <c r="D8" s="420">
        <f t="shared" ref="D8:D12" si="4">((C8/$B8))-1</f>
        <v>-0.17717717717717718</v>
      </c>
      <c r="E8" s="568">
        <v>2177</v>
      </c>
      <c r="F8" s="420">
        <f t="shared" ref="F8:F12" si="5">((E8/$B8))-1</f>
        <v>-0.18280780780780781</v>
      </c>
      <c r="G8" s="196">
        <v>2414</v>
      </c>
      <c r="H8" s="5">
        <f t="shared" ref="H8:H12" si="6">((G8/$B8))-1</f>
        <v>-9.3843843843843811E-2</v>
      </c>
      <c r="I8" s="545">
        <v>2463</v>
      </c>
      <c r="J8" s="5">
        <f t="shared" ref="J8:J12" si="7">((I8/$B8))-1</f>
        <v>-7.5450450450450401E-2</v>
      </c>
      <c r="K8" s="545">
        <v>2283</v>
      </c>
      <c r="L8" s="5">
        <f t="shared" ref="L8:L12" si="8">((K8/$B8))-1</f>
        <v>-0.14301801801801806</v>
      </c>
      <c r="M8" s="545">
        <v>2337</v>
      </c>
      <c r="N8" s="5">
        <f t="shared" ref="N8:N12" si="9">((M8/$B8))-1</f>
        <v>-0.12274774774774777</v>
      </c>
      <c r="O8" s="196">
        <v>2675</v>
      </c>
      <c r="P8" s="5">
        <f t="shared" ref="P8:P12" si="10">((O8/$B8))-1</f>
        <v>4.1291291291292165E-3</v>
      </c>
      <c r="Q8" s="545">
        <v>3610</v>
      </c>
      <c r="R8" s="5">
        <f t="shared" ref="R8:R12" si="11">((Q8/$B8))-1</f>
        <v>0.35510510510510507</v>
      </c>
      <c r="S8" s="568">
        <v>3186</v>
      </c>
      <c r="T8" s="576">
        <f t="shared" si="0"/>
        <v>1.1959459459459461</v>
      </c>
      <c r="U8" s="568">
        <v>2538</v>
      </c>
      <c r="V8" s="576">
        <f t="shared" si="1"/>
        <v>0.95270270270270274</v>
      </c>
      <c r="W8" s="568">
        <v>2659</v>
      </c>
      <c r="X8" s="576">
        <f t="shared" si="2"/>
        <v>0.99812312312312312</v>
      </c>
      <c r="Y8" s="568">
        <v>2525</v>
      </c>
      <c r="Z8" s="576">
        <f t="shared" si="3"/>
        <v>0.94782282282282282</v>
      </c>
    </row>
    <row r="9" spans="1:26" x14ac:dyDescent="0.25">
      <c r="A9" s="194" t="s">
        <v>11</v>
      </c>
      <c r="B9" s="195">
        <v>789</v>
      </c>
      <c r="C9" s="568">
        <v>496</v>
      </c>
      <c r="D9" s="420">
        <f t="shared" si="4"/>
        <v>-0.37135614702154629</v>
      </c>
      <c r="E9" s="568">
        <v>553</v>
      </c>
      <c r="F9" s="420">
        <f t="shared" si="5"/>
        <v>-0.29911280101394166</v>
      </c>
      <c r="G9" s="196">
        <v>639</v>
      </c>
      <c r="H9" s="5">
        <f t="shared" si="6"/>
        <v>-0.1901140684410646</v>
      </c>
      <c r="I9" s="545">
        <v>665</v>
      </c>
      <c r="J9" s="5">
        <f t="shared" si="7"/>
        <v>-0.15716096324461348</v>
      </c>
      <c r="K9" s="545">
        <v>711</v>
      </c>
      <c r="L9" s="5">
        <f t="shared" si="8"/>
        <v>-9.8859315589353569E-2</v>
      </c>
      <c r="M9" s="545">
        <v>823</v>
      </c>
      <c r="N9" s="5">
        <f t="shared" si="9"/>
        <v>4.3092522179974724E-2</v>
      </c>
      <c r="O9" s="196">
        <v>815</v>
      </c>
      <c r="P9" s="5">
        <f t="shared" si="10"/>
        <v>3.2953105196451116E-2</v>
      </c>
      <c r="Q9" s="545">
        <v>831</v>
      </c>
      <c r="R9" s="5">
        <f t="shared" si="11"/>
        <v>5.323193916349811E-2</v>
      </c>
      <c r="S9" s="568">
        <v>626</v>
      </c>
      <c r="T9" s="576">
        <f t="shared" si="0"/>
        <v>0.79340937896070973</v>
      </c>
      <c r="U9" s="568">
        <v>668</v>
      </c>
      <c r="V9" s="576">
        <f t="shared" si="1"/>
        <v>0.84664131812420784</v>
      </c>
      <c r="W9" s="568">
        <v>693</v>
      </c>
      <c r="X9" s="576">
        <f t="shared" si="2"/>
        <v>0.87832699619771859</v>
      </c>
      <c r="Y9" s="568">
        <v>518</v>
      </c>
      <c r="Z9" s="576">
        <f t="shared" si="3"/>
        <v>0.65652724968314324</v>
      </c>
    </row>
    <row r="10" spans="1:26" x14ac:dyDescent="0.25">
      <c r="A10" s="197" t="s">
        <v>43</v>
      </c>
      <c r="B10" s="198">
        <v>526</v>
      </c>
      <c r="C10" s="570">
        <v>248</v>
      </c>
      <c r="D10" s="560">
        <f t="shared" si="4"/>
        <v>-0.52851711026615966</v>
      </c>
      <c r="E10" s="568">
        <v>405</v>
      </c>
      <c r="F10" s="560">
        <f t="shared" si="5"/>
        <v>-0.23003802281368824</v>
      </c>
      <c r="G10" s="199">
        <v>531</v>
      </c>
      <c r="H10" s="62">
        <f t="shared" si="6"/>
        <v>9.5057034220531467E-3</v>
      </c>
      <c r="I10" s="545">
        <v>432</v>
      </c>
      <c r="J10" s="62">
        <f t="shared" si="7"/>
        <v>-0.17870722433460073</v>
      </c>
      <c r="K10" s="545">
        <v>358</v>
      </c>
      <c r="L10" s="62">
        <f t="shared" si="8"/>
        <v>-0.31939163498098855</v>
      </c>
      <c r="M10" s="545">
        <v>313</v>
      </c>
      <c r="N10" s="62">
        <f t="shared" si="9"/>
        <v>-0.40494296577946765</v>
      </c>
      <c r="O10" s="199">
        <v>241</v>
      </c>
      <c r="P10" s="302">
        <f t="shared" si="10"/>
        <v>-0.54182509505703425</v>
      </c>
      <c r="Q10" s="545">
        <v>261</v>
      </c>
      <c r="R10" s="302">
        <f t="shared" si="11"/>
        <v>-0.50380228136882121</v>
      </c>
      <c r="S10" s="570">
        <v>25</v>
      </c>
      <c r="T10" s="576">
        <f t="shared" si="0"/>
        <v>4.7528517110266157E-2</v>
      </c>
      <c r="U10" s="568">
        <v>182</v>
      </c>
      <c r="V10" s="576">
        <f t="shared" si="1"/>
        <v>0.34600760456273766</v>
      </c>
      <c r="W10" s="568">
        <v>373</v>
      </c>
      <c r="X10" s="576">
        <f t="shared" si="2"/>
        <v>0.70912547528517111</v>
      </c>
      <c r="Y10" s="568">
        <v>451</v>
      </c>
      <c r="Z10" s="576">
        <f t="shared" si="3"/>
        <v>0.85741444866920147</v>
      </c>
    </row>
    <row r="11" spans="1:26" ht="15.75" thickBot="1" x14ac:dyDescent="0.3">
      <c r="A11" s="200" t="s">
        <v>14</v>
      </c>
      <c r="B11" s="201">
        <v>526</v>
      </c>
      <c r="C11" s="574">
        <v>511</v>
      </c>
      <c r="D11" s="575">
        <f t="shared" si="4"/>
        <v>-2.8517110266159662E-2</v>
      </c>
      <c r="E11" s="570">
        <v>493</v>
      </c>
      <c r="F11" s="575">
        <f t="shared" si="5"/>
        <v>-6.2737642585551368E-2</v>
      </c>
      <c r="G11" s="202">
        <v>333</v>
      </c>
      <c r="H11" s="203">
        <f t="shared" si="6"/>
        <v>-0.36692015209125473</v>
      </c>
      <c r="I11" s="94">
        <v>406</v>
      </c>
      <c r="J11" s="203">
        <f t="shared" si="7"/>
        <v>-0.22813688212927752</v>
      </c>
      <c r="K11" s="94">
        <v>447</v>
      </c>
      <c r="L11" s="203">
        <f t="shared" si="8"/>
        <v>-0.15019011406844107</v>
      </c>
      <c r="M11" s="94">
        <v>430</v>
      </c>
      <c r="N11" s="203">
        <f t="shared" si="9"/>
        <v>-0.18250950570342206</v>
      </c>
      <c r="O11" s="202">
        <v>431</v>
      </c>
      <c r="P11" s="203">
        <f t="shared" si="10"/>
        <v>-0.18060836501901145</v>
      </c>
      <c r="Q11" s="94">
        <v>532</v>
      </c>
      <c r="R11" s="203">
        <f t="shared" si="11"/>
        <v>1.1406844106463865E-2</v>
      </c>
      <c r="S11" s="574">
        <v>444</v>
      </c>
      <c r="T11" s="577">
        <f t="shared" si="0"/>
        <v>0.844106463878327</v>
      </c>
      <c r="U11" s="570">
        <v>463</v>
      </c>
      <c r="V11" s="577">
        <f t="shared" si="1"/>
        <v>0.88022813688212931</v>
      </c>
      <c r="W11" s="570">
        <v>458</v>
      </c>
      <c r="X11" s="577">
        <f t="shared" si="2"/>
        <v>0.87072243346007605</v>
      </c>
      <c r="Y11" s="570">
        <v>393</v>
      </c>
      <c r="Z11" s="577">
        <f t="shared" si="3"/>
        <v>0.74714828897338403</v>
      </c>
    </row>
    <row r="12" spans="1:26" ht="15.75" thickBot="1" x14ac:dyDescent="0.3">
      <c r="A12" s="68" t="s">
        <v>7</v>
      </c>
      <c r="B12" s="72">
        <f>SUM(B7:B11)</f>
        <v>5171</v>
      </c>
      <c r="C12" s="76">
        <f>SUM(C7:C11)</f>
        <v>3988</v>
      </c>
      <c r="D12" s="90">
        <f t="shared" si="4"/>
        <v>-0.22877586540321027</v>
      </c>
      <c r="E12" s="76">
        <f>SUM(E7:E11)</f>
        <v>4164</v>
      </c>
      <c r="F12" s="90">
        <f t="shared" si="5"/>
        <v>-0.19473989557145621</v>
      </c>
      <c r="G12" s="76">
        <f>SUM(G7:G11)</f>
        <v>4463</v>
      </c>
      <c r="H12" s="90">
        <f t="shared" si="6"/>
        <v>-0.13691742409591956</v>
      </c>
      <c r="I12" s="76">
        <f>SUM(I7:I11)</f>
        <v>4546</v>
      </c>
      <c r="J12" s="90">
        <f t="shared" si="7"/>
        <v>-0.12086637014117196</v>
      </c>
      <c r="K12" s="76">
        <f>SUM(K7:K11)</f>
        <v>4352</v>
      </c>
      <c r="L12" s="90">
        <f t="shared" si="8"/>
        <v>-0.15838329143299168</v>
      </c>
      <c r="M12" s="76">
        <f>SUM(M7:M11)</f>
        <v>4500</v>
      </c>
      <c r="N12" s="90">
        <f t="shared" si="9"/>
        <v>-0.12976213498356215</v>
      </c>
      <c r="O12" s="76">
        <f>SUM(O7:O11)</f>
        <v>4888</v>
      </c>
      <c r="P12" s="90">
        <f t="shared" si="10"/>
        <v>-5.4728292399922607E-2</v>
      </c>
      <c r="Q12" s="76">
        <f>SUM(Q7:Q11)</f>
        <v>6064</v>
      </c>
      <c r="R12" s="90">
        <f t="shared" si="11"/>
        <v>0.1726938696577065</v>
      </c>
      <c r="S12" s="591">
        <f>SUM(S7:S11)</f>
        <v>5061</v>
      </c>
      <c r="T12" s="592">
        <f t="shared" si="0"/>
        <v>0.97872751885515374</v>
      </c>
      <c r="U12" s="591">
        <f>SUM(U7:U11)</f>
        <v>4477</v>
      </c>
      <c r="V12" s="592">
        <f t="shared" si="1"/>
        <v>0.86578998259524265</v>
      </c>
      <c r="W12" s="591">
        <f>SUM(W7:W11)</f>
        <v>4874</v>
      </c>
      <c r="X12" s="592">
        <f t="shared" si="2"/>
        <v>0.94256430090891508</v>
      </c>
      <c r="Y12" s="591">
        <f>SUM(Y7:Y11)</f>
        <v>4557</v>
      </c>
      <c r="Z12" s="592">
        <f t="shared" si="3"/>
        <v>0.88126087797331265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Z15"/>
  <sheetViews>
    <sheetView workbookViewId="0"/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8.140625" bestFit="1" customWidth="1"/>
    <col min="5" max="5" width="5.42578125" bestFit="1" customWidth="1"/>
    <col min="6" max="6" width="8.140625" bestFit="1" customWidth="1"/>
    <col min="7" max="7" width="5.42578125" bestFit="1" customWidth="1"/>
    <col min="8" max="8" width="8.140625" bestFit="1" customWidth="1"/>
    <col min="9" max="9" width="5.42578125" bestFit="1" customWidth="1"/>
    <col min="10" max="10" width="8.140625" bestFit="1" customWidth="1"/>
    <col min="11" max="11" width="5.42578125" bestFit="1" customWidth="1"/>
    <col min="12" max="12" width="8.140625" bestFit="1" customWidth="1"/>
    <col min="13" max="13" width="5.42578125" bestFit="1" customWidth="1"/>
    <col min="14" max="14" width="8.140625" bestFit="1" customWidth="1"/>
    <col min="15" max="15" width="5.42578125" bestFit="1" customWidth="1"/>
    <col min="16" max="16" width="8.140625" bestFit="1" customWidth="1"/>
    <col min="17" max="17" width="5.42578125" bestFit="1" customWidth="1"/>
    <col min="18" max="18" width="8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6.5703125" bestFit="1" customWidth="1"/>
    <col min="23" max="23" width="5.42578125" bestFit="1" customWidth="1"/>
    <col min="24" max="24" width="6.5703125" bestFit="1" customWidth="1"/>
    <col min="25" max="25" width="5.42578125" bestFit="1" customWidth="1"/>
    <col min="26" max="26" width="6.5703125" bestFit="1" customWidth="1"/>
  </cols>
  <sheetData>
    <row r="2" spans="1:26" ht="18" x14ac:dyDescent="0.35">
      <c r="A2" s="648" t="s">
        <v>363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</row>
    <row r="3" spans="1:26" ht="18" x14ac:dyDescent="0.35">
      <c r="A3" s="648" t="s">
        <v>331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372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180" t="s">
        <v>15</v>
      </c>
      <c r="B6" s="181" t="s">
        <v>16</v>
      </c>
      <c r="C6" s="579" t="s">
        <v>327</v>
      </c>
      <c r="D6" s="580" t="s">
        <v>1</v>
      </c>
      <c r="E6" s="579" t="s">
        <v>328</v>
      </c>
      <c r="F6" s="580" t="s">
        <v>1</v>
      </c>
      <c r="G6" s="534" t="s">
        <v>349</v>
      </c>
      <c r="H6" s="535" t="s">
        <v>1</v>
      </c>
      <c r="I6" s="534" t="s">
        <v>350</v>
      </c>
      <c r="J6" s="535" t="s">
        <v>1</v>
      </c>
      <c r="K6" s="534" t="s">
        <v>351</v>
      </c>
      <c r="L6" s="535" t="s">
        <v>1</v>
      </c>
      <c r="M6" s="534" t="s">
        <v>353</v>
      </c>
      <c r="N6" s="535" t="s">
        <v>1</v>
      </c>
      <c r="O6" s="534" t="s">
        <v>354</v>
      </c>
      <c r="P6" s="535" t="s">
        <v>1</v>
      </c>
      <c r="Q6" s="534" t="s">
        <v>2</v>
      </c>
      <c r="R6" s="535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5.75" thickTop="1" x14ac:dyDescent="0.25">
      <c r="A7" s="182" t="s">
        <v>9</v>
      </c>
      <c r="B7" s="1">
        <v>999</v>
      </c>
      <c r="C7" s="418">
        <v>343</v>
      </c>
      <c r="D7" s="420">
        <f>((C7/$B7))-1</f>
        <v>-0.65665665665665673</v>
      </c>
      <c r="E7" s="418">
        <v>316</v>
      </c>
      <c r="F7" s="420">
        <f>((E7/$B7))-1</f>
        <v>-0.68368368368368371</v>
      </c>
      <c r="G7" s="2">
        <v>399</v>
      </c>
      <c r="H7" s="5">
        <f>((G7/$B7))-1</f>
        <v>-0.60060060060060061</v>
      </c>
      <c r="I7" s="418">
        <v>701</v>
      </c>
      <c r="J7" s="5">
        <f>((I7/$B7))-1</f>
        <v>-0.29829829829829835</v>
      </c>
      <c r="K7" s="418">
        <v>722</v>
      </c>
      <c r="L7" s="5">
        <f>((K7/$B7))-1</f>
        <v>-0.27727727727727725</v>
      </c>
      <c r="M7" s="418">
        <v>888</v>
      </c>
      <c r="N7" s="5">
        <f>((M7/$B7))-1</f>
        <v>-0.11111111111111116</v>
      </c>
      <c r="O7" s="418">
        <v>1074</v>
      </c>
      <c r="P7" s="5">
        <f>((O7/$B7))-1</f>
        <v>7.5075075075075048E-2</v>
      </c>
      <c r="Q7" s="418">
        <v>983</v>
      </c>
      <c r="R7" s="5">
        <f>((Q7/$B7))-1</f>
        <v>-1.6016016016015988E-2</v>
      </c>
      <c r="S7" s="418">
        <v>837</v>
      </c>
      <c r="T7" s="420">
        <f t="shared" ref="T7:T15" si="0">S7/$B7</f>
        <v>0.83783783783783783</v>
      </c>
      <c r="U7" s="418">
        <v>775</v>
      </c>
      <c r="V7" s="420">
        <f t="shared" ref="V7:V15" si="1">U7/$B7</f>
        <v>0.77577577577577572</v>
      </c>
      <c r="W7" s="418">
        <v>723</v>
      </c>
      <c r="X7" s="420">
        <f t="shared" ref="X7:X15" si="2">W7/$B7</f>
        <v>0.72372372372372373</v>
      </c>
      <c r="Y7" s="418">
        <v>903</v>
      </c>
      <c r="Z7" s="420">
        <f t="shared" ref="Z7:Z15" si="3">Y7/$B7</f>
        <v>0.90390390390390385</v>
      </c>
    </row>
    <row r="8" spans="1:26" x14ac:dyDescent="0.25">
      <c r="A8" s="182" t="s">
        <v>10</v>
      </c>
      <c r="B8" s="183">
        <v>3996</v>
      </c>
      <c r="C8" s="568">
        <v>2243</v>
      </c>
      <c r="D8" s="420">
        <f t="shared" ref="D8:D15" si="4">((C8/$B8))-1</f>
        <v>-0.43868868868868871</v>
      </c>
      <c r="E8" s="568">
        <v>1950</v>
      </c>
      <c r="F8" s="420">
        <f t="shared" ref="F8:F15" si="5">((E8/$B8))-1</f>
        <v>-0.51201201201201196</v>
      </c>
      <c r="G8" s="184">
        <v>2427</v>
      </c>
      <c r="H8" s="5">
        <f t="shared" ref="H8:H15" si="6">((G8/$B8))-1</f>
        <v>-0.39264264264264259</v>
      </c>
      <c r="I8" s="545">
        <v>1872</v>
      </c>
      <c r="J8" s="5">
        <f t="shared" ref="J8:J15" si="7">((I8/$B8))-1</f>
        <v>-0.53153153153153154</v>
      </c>
      <c r="K8" s="545">
        <v>1948</v>
      </c>
      <c r="L8" s="5">
        <f t="shared" ref="L8:L15" si="8">((K8/$B8))-1</f>
        <v>-0.51251251251251251</v>
      </c>
      <c r="M8" s="545">
        <v>2336</v>
      </c>
      <c r="N8" s="5">
        <f t="shared" ref="N8:N15" si="9">((M8/$B8))-1</f>
        <v>-0.41541541541541538</v>
      </c>
      <c r="O8" s="545">
        <v>3970</v>
      </c>
      <c r="P8" s="5">
        <f t="shared" ref="P8:P15" si="10">((O8/$B8))-1</f>
        <v>-6.5065065065065264E-3</v>
      </c>
      <c r="Q8" s="545">
        <v>2920</v>
      </c>
      <c r="R8" s="5">
        <f t="shared" ref="R8:R15" si="11">((Q8/$B8))-1</f>
        <v>-0.26926926926926931</v>
      </c>
      <c r="S8" s="568">
        <v>6238</v>
      </c>
      <c r="T8" s="576">
        <f t="shared" si="0"/>
        <v>1.5610610610610611</v>
      </c>
      <c r="U8" s="568">
        <v>3057</v>
      </c>
      <c r="V8" s="576">
        <f t="shared" si="1"/>
        <v>0.76501501501501501</v>
      </c>
      <c r="W8" s="568">
        <v>2390</v>
      </c>
      <c r="X8" s="576">
        <f t="shared" si="2"/>
        <v>0.59809809809809811</v>
      </c>
      <c r="Y8" s="568">
        <v>3113</v>
      </c>
      <c r="Z8" s="576">
        <f t="shared" si="3"/>
        <v>0.77902902902902904</v>
      </c>
    </row>
    <row r="9" spans="1:26" x14ac:dyDescent="0.25">
      <c r="A9" s="182" t="s">
        <v>11</v>
      </c>
      <c r="B9" s="183">
        <v>1052</v>
      </c>
      <c r="C9" s="568">
        <v>664</v>
      </c>
      <c r="D9" s="420">
        <f t="shared" si="4"/>
        <v>-0.36882129277566544</v>
      </c>
      <c r="E9" s="568">
        <v>526</v>
      </c>
      <c r="F9" s="420">
        <f t="shared" si="5"/>
        <v>-0.5</v>
      </c>
      <c r="G9" s="184">
        <v>832</v>
      </c>
      <c r="H9" s="5">
        <f t="shared" si="6"/>
        <v>-0.20912547528517111</v>
      </c>
      <c r="I9" s="545">
        <v>683</v>
      </c>
      <c r="J9" s="5">
        <f t="shared" si="7"/>
        <v>-0.35076045627376429</v>
      </c>
      <c r="K9" s="545">
        <v>784</v>
      </c>
      <c r="L9" s="5">
        <f t="shared" si="8"/>
        <v>-0.25475285171102657</v>
      </c>
      <c r="M9" s="545">
        <v>737</v>
      </c>
      <c r="N9" s="5">
        <f t="shared" si="9"/>
        <v>-0.29942965779467678</v>
      </c>
      <c r="O9" s="545">
        <v>828</v>
      </c>
      <c r="P9" s="5">
        <f t="shared" si="10"/>
        <v>-0.21292775665399244</v>
      </c>
      <c r="Q9" s="545">
        <v>830</v>
      </c>
      <c r="R9" s="5">
        <f t="shared" si="11"/>
        <v>-0.21102661596958172</v>
      </c>
      <c r="S9" s="568">
        <v>553</v>
      </c>
      <c r="T9" s="576">
        <f t="shared" si="0"/>
        <v>0.5256653992395437</v>
      </c>
      <c r="U9" s="568">
        <v>717</v>
      </c>
      <c r="V9" s="576">
        <f t="shared" si="1"/>
        <v>0.6815589353612167</v>
      </c>
      <c r="W9" s="568">
        <v>713</v>
      </c>
      <c r="X9" s="576">
        <f t="shared" si="2"/>
        <v>0.67775665399239549</v>
      </c>
      <c r="Y9" s="568">
        <v>806</v>
      </c>
      <c r="Z9" s="576">
        <f t="shared" si="3"/>
        <v>0.76615969581749055</v>
      </c>
    </row>
    <row r="10" spans="1:26" x14ac:dyDescent="0.25">
      <c r="A10" s="182" t="s">
        <v>43</v>
      </c>
      <c r="B10" s="183">
        <v>789</v>
      </c>
      <c r="C10" s="568">
        <v>273</v>
      </c>
      <c r="D10" s="420">
        <f t="shared" si="4"/>
        <v>-0.6539923954372624</v>
      </c>
      <c r="E10" s="568">
        <v>426</v>
      </c>
      <c r="F10" s="420">
        <f t="shared" si="5"/>
        <v>-0.46007604562737647</v>
      </c>
      <c r="G10" s="184">
        <v>454</v>
      </c>
      <c r="H10" s="5">
        <f t="shared" si="6"/>
        <v>-0.4245880861850444</v>
      </c>
      <c r="I10" s="545">
        <v>430</v>
      </c>
      <c r="J10" s="5">
        <f t="shared" si="7"/>
        <v>-0.45500633713561467</v>
      </c>
      <c r="K10" s="545">
        <v>448</v>
      </c>
      <c r="L10" s="5">
        <f t="shared" si="8"/>
        <v>-0.43219264892268694</v>
      </c>
      <c r="M10" s="545">
        <v>492</v>
      </c>
      <c r="N10" s="5">
        <f t="shared" si="9"/>
        <v>-0.37642585551330798</v>
      </c>
      <c r="O10" s="545">
        <v>394</v>
      </c>
      <c r="P10" s="5">
        <f t="shared" si="10"/>
        <v>-0.50063371356147024</v>
      </c>
      <c r="Q10" s="545">
        <v>378</v>
      </c>
      <c r="R10" s="5">
        <f t="shared" si="11"/>
        <v>-0.52091254752851712</v>
      </c>
      <c r="S10" s="568">
        <v>404</v>
      </c>
      <c r="T10" s="576">
        <f t="shared" si="0"/>
        <v>0.5120405576679341</v>
      </c>
      <c r="U10" s="568">
        <v>336</v>
      </c>
      <c r="V10" s="576">
        <f t="shared" si="1"/>
        <v>0.42585551330798477</v>
      </c>
      <c r="W10" s="568">
        <v>296</v>
      </c>
      <c r="X10" s="576">
        <f t="shared" si="2"/>
        <v>0.37515842839036756</v>
      </c>
      <c r="Y10" s="568">
        <v>290</v>
      </c>
      <c r="Z10" s="576">
        <f t="shared" si="3"/>
        <v>0.36755386565272496</v>
      </c>
    </row>
    <row r="11" spans="1:26" x14ac:dyDescent="0.25">
      <c r="A11" s="182" t="s">
        <v>13</v>
      </c>
      <c r="B11" s="183">
        <v>125</v>
      </c>
      <c r="C11" s="568">
        <v>45</v>
      </c>
      <c r="D11" s="420">
        <f t="shared" si="4"/>
        <v>-0.64</v>
      </c>
      <c r="E11" s="568">
        <v>72</v>
      </c>
      <c r="F11" s="420">
        <f t="shared" si="5"/>
        <v>-0.42400000000000004</v>
      </c>
      <c r="G11" s="184">
        <v>151</v>
      </c>
      <c r="H11" s="5">
        <f t="shared" si="6"/>
        <v>0.20799999999999996</v>
      </c>
      <c r="I11" s="545">
        <v>101</v>
      </c>
      <c r="J11" s="5">
        <f t="shared" si="7"/>
        <v>-0.19199999999999995</v>
      </c>
      <c r="K11" s="545">
        <v>140</v>
      </c>
      <c r="L11" s="5">
        <f t="shared" si="8"/>
        <v>0.12000000000000011</v>
      </c>
      <c r="M11" s="545">
        <v>144</v>
      </c>
      <c r="N11" s="5">
        <f t="shared" si="9"/>
        <v>0.15199999999999991</v>
      </c>
      <c r="O11" s="545">
        <v>105</v>
      </c>
      <c r="P11" s="5">
        <f t="shared" si="10"/>
        <v>-0.16000000000000003</v>
      </c>
      <c r="Q11" s="545">
        <v>144</v>
      </c>
      <c r="R11" s="5">
        <f t="shared" si="11"/>
        <v>0.15199999999999991</v>
      </c>
      <c r="S11" s="568">
        <v>68</v>
      </c>
      <c r="T11" s="576">
        <f t="shared" si="0"/>
        <v>0.54400000000000004</v>
      </c>
      <c r="U11" s="568">
        <v>62</v>
      </c>
      <c r="V11" s="576">
        <f t="shared" si="1"/>
        <v>0.496</v>
      </c>
      <c r="W11" s="568">
        <v>68</v>
      </c>
      <c r="X11" s="576">
        <f t="shared" si="2"/>
        <v>0.54400000000000004</v>
      </c>
      <c r="Y11" s="568">
        <v>77</v>
      </c>
      <c r="Z11" s="576">
        <f t="shared" si="3"/>
        <v>0.61599999999999999</v>
      </c>
    </row>
    <row r="12" spans="1:26" x14ac:dyDescent="0.25">
      <c r="A12" s="182" t="s">
        <v>49</v>
      </c>
      <c r="B12" s="183">
        <v>125</v>
      </c>
      <c r="C12" s="568">
        <v>187</v>
      </c>
      <c r="D12" s="420">
        <f t="shared" si="4"/>
        <v>0.496</v>
      </c>
      <c r="E12" s="568">
        <v>186</v>
      </c>
      <c r="F12" s="420">
        <f t="shared" si="5"/>
        <v>0.48799999999999999</v>
      </c>
      <c r="G12" s="184">
        <v>227</v>
      </c>
      <c r="H12" s="5">
        <f t="shared" si="6"/>
        <v>0.81600000000000006</v>
      </c>
      <c r="I12" s="545">
        <v>205</v>
      </c>
      <c r="J12" s="5">
        <f t="shared" si="7"/>
        <v>0.6399999999999999</v>
      </c>
      <c r="K12" s="545">
        <v>206</v>
      </c>
      <c r="L12" s="5">
        <f t="shared" si="8"/>
        <v>0.64799999999999991</v>
      </c>
      <c r="M12" s="545">
        <v>209</v>
      </c>
      <c r="N12" s="5">
        <f t="shared" si="9"/>
        <v>0.67199999999999993</v>
      </c>
      <c r="O12" s="545">
        <v>227</v>
      </c>
      <c r="P12" s="5">
        <f t="shared" si="10"/>
        <v>0.81600000000000006</v>
      </c>
      <c r="Q12" s="545">
        <v>234</v>
      </c>
      <c r="R12" s="5">
        <f t="shared" si="11"/>
        <v>0.87200000000000011</v>
      </c>
      <c r="S12" s="568"/>
      <c r="T12" s="576">
        <f t="shared" si="0"/>
        <v>0</v>
      </c>
      <c r="U12" s="568"/>
      <c r="V12" s="576">
        <f t="shared" si="1"/>
        <v>0</v>
      </c>
      <c r="W12" s="568"/>
      <c r="X12" s="576">
        <f t="shared" si="2"/>
        <v>0</v>
      </c>
      <c r="Y12" s="568"/>
      <c r="Z12" s="576">
        <f t="shared" si="3"/>
        <v>0</v>
      </c>
    </row>
    <row r="13" spans="1:26" x14ac:dyDescent="0.25">
      <c r="A13" s="185" t="s">
        <v>14</v>
      </c>
      <c r="B13" s="186">
        <v>526</v>
      </c>
      <c r="C13" s="570">
        <v>458</v>
      </c>
      <c r="D13" s="560">
        <f t="shared" si="4"/>
        <v>-0.12927756653992395</v>
      </c>
      <c r="E13" s="568">
        <v>428</v>
      </c>
      <c r="F13" s="560">
        <f t="shared" si="5"/>
        <v>-0.18631178707224338</v>
      </c>
      <c r="G13" s="187">
        <v>517</v>
      </c>
      <c r="H13" s="62">
        <f t="shared" si="6"/>
        <v>-1.7110266159695797E-2</v>
      </c>
      <c r="I13" s="545">
        <v>429</v>
      </c>
      <c r="J13" s="62">
        <f t="shared" si="7"/>
        <v>-0.18441064638783267</v>
      </c>
      <c r="K13" s="545">
        <v>310</v>
      </c>
      <c r="L13" s="62">
        <f t="shared" si="8"/>
        <v>-0.41064638783269958</v>
      </c>
      <c r="M13" s="545">
        <v>520</v>
      </c>
      <c r="N13" s="62">
        <f t="shared" si="9"/>
        <v>-1.1406844106463865E-2</v>
      </c>
      <c r="O13" s="545">
        <v>256</v>
      </c>
      <c r="P13" s="394">
        <f t="shared" si="10"/>
        <v>-0.51330798479087458</v>
      </c>
      <c r="Q13" s="545">
        <v>471</v>
      </c>
      <c r="R13" s="394">
        <f t="shared" si="11"/>
        <v>-0.1045627376425855</v>
      </c>
      <c r="S13" s="570">
        <v>402</v>
      </c>
      <c r="T13" s="576">
        <f t="shared" si="0"/>
        <v>0.76425855513307983</v>
      </c>
      <c r="U13" s="568">
        <v>297</v>
      </c>
      <c r="V13" s="576">
        <f t="shared" si="1"/>
        <v>0.56463878326996197</v>
      </c>
      <c r="W13" s="568">
        <v>385</v>
      </c>
      <c r="X13" s="576">
        <f t="shared" si="2"/>
        <v>0.73193916349809884</v>
      </c>
      <c r="Y13" s="568">
        <v>405</v>
      </c>
      <c r="Z13" s="576">
        <f t="shared" si="3"/>
        <v>0.76996197718631176</v>
      </c>
    </row>
    <row r="14" spans="1:26" ht="15.75" thickBot="1" x14ac:dyDescent="0.3">
      <c r="A14" s="188" t="s">
        <v>50</v>
      </c>
      <c r="B14" s="189">
        <v>100</v>
      </c>
      <c r="C14" s="574">
        <v>51</v>
      </c>
      <c r="D14" s="575">
        <f t="shared" si="4"/>
        <v>-0.49</v>
      </c>
      <c r="E14" s="578">
        <v>58</v>
      </c>
      <c r="F14" s="575">
        <f t="shared" si="5"/>
        <v>-0.42000000000000004</v>
      </c>
      <c r="G14" s="190">
        <v>88</v>
      </c>
      <c r="H14" s="191">
        <f t="shared" si="6"/>
        <v>-0.12</v>
      </c>
      <c r="I14" s="94">
        <v>107</v>
      </c>
      <c r="J14" s="191">
        <f t="shared" si="7"/>
        <v>7.0000000000000062E-2</v>
      </c>
      <c r="K14" s="94">
        <v>79</v>
      </c>
      <c r="L14" s="191">
        <f t="shared" si="8"/>
        <v>-0.20999999999999996</v>
      </c>
      <c r="M14" s="94">
        <v>98</v>
      </c>
      <c r="N14" s="191">
        <f t="shared" si="9"/>
        <v>-2.0000000000000018E-2</v>
      </c>
      <c r="O14" s="94">
        <v>55</v>
      </c>
      <c r="P14" s="191">
        <f t="shared" si="10"/>
        <v>-0.44999999999999996</v>
      </c>
      <c r="Q14" s="94">
        <v>0</v>
      </c>
      <c r="R14" s="191">
        <f t="shared" si="11"/>
        <v>-1</v>
      </c>
      <c r="S14" s="574">
        <v>88</v>
      </c>
      <c r="T14" s="577">
        <f t="shared" si="0"/>
        <v>0.88</v>
      </c>
      <c r="U14" s="570">
        <v>85</v>
      </c>
      <c r="V14" s="577">
        <f t="shared" si="1"/>
        <v>0.85</v>
      </c>
      <c r="W14" s="570">
        <v>88</v>
      </c>
      <c r="X14" s="577">
        <f t="shared" si="2"/>
        <v>0.88</v>
      </c>
      <c r="Y14" s="570">
        <v>99</v>
      </c>
      <c r="Z14" s="577">
        <f t="shared" si="3"/>
        <v>0.99</v>
      </c>
    </row>
    <row r="15" spans="1:26" ht="15.75" thickBot="1" x14ac:dyDescent="0.3">
      <c r="A15" s="68" t="s">
        <v>7</v>
      </c>
      <c r="B15" s="72">
        <f>SUM(B7:B14)</f>
        <v>7712</v>
      </c>
      <c r="C15" s="76">
        <f>SUM(C7:C14)</f>
        <v>4264</v>
      </c>
      <c r="D15" s="90">
        <f t="shared" si="4"/>
        <v>-0.44709543568464727</v>
      </c>
      <c r="E15" s="76">
        <f>SUM(E7:E14)</f>
        <v>3962</v>
      </c>
      <c r="F15" s="90">
        <f t="shared" si="5"/>
        <v>-0.48625518672199175</v>
      </c>
      <c r="G15" s="76">
        <f>SUM(G7:G14)</f>
        <v>5095</v>
      </c>
      <c r="H15" s="90">
        <f t="shared" si="6"/>
        <v>-0.33934128630705396</v>
      </c>
      <c r="I15" s="76">
        <f>SUM(I7:I14)</f>
        <v>4528</v>
      </c>
      <c r="J15" s="90">
        <f t="shared" si="7"/>
        <v>-0.41286307053941906</v>
      </c>
      <c r="K15" s="76">
        <f>SUM(K7:K14)</f>
        <v>4637</v>
      </c>
      <c r="L15" s="90">
        <f t="shared" si="8"/>
        <v>-0.39872925311203322</v>
      </c>
      <c r="M15" s="76">
        <f>SUM(M7:M14)</f>
        <v>5424</v>
      </c>
      <c r="N15" s="90">
        <f t="shared" si="9"/>
        <v>-0.29668049792531115</v>
      </c>
      <c r="O15" s="76">
        <f>SUM(O7:O14)</f>
        <v>6909</v>
      </c>
      <c r="P15" s="90">
        <f t="shared" si="10"/>
        <v>-0.10412344398340245</v>
      </c>
      <c r="Q15" s="76">
        <f>SUM(Q7:Q14)</f>
        <v>5960</v>
      </c>
      <c r="R15" s="90">
        <f t="shared" si="11"/>
        <v>-0.22717842323651449</v>
      </c>
      <c r="S15" s="611">
        <f>SUM(S7:S14)</f>
        <v>8590</v>
      </c>
      <c r="T15" s="612">
        <f t="shared" si="0"/>
        <v>1.1138485477178424</v>
      </c>
      <c r="U15" s="611">
        <f>SUM(U7:U14)</f>
        <v>5329</v>
      </c>
      <c r="V15" s="612">
        <f t="shared" si="1"/>
        <v>0.69100103734439833</v>
      </c>
      <c r="W15" s="611">
        <f>SUM(W7:W14)</f>
        <v>4663</v>
      </c>
      <c r="X15" s="612">
        <f t="shared" si="2"/>
        <v>0.60464211618257258</v>
      </c>
      <c r="Y15" s="611">
        <f>SUM(Y7:Y14)</f>
        <v>5693</v>
      </c>
      <c r="Z15" s="612">
        <f t="shared" si="3"/>
        <v>0.73820020746887971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Z14"/>
  <sheetViews>
    <sheetView workbookViewId="0"/>
  </sheetViews>
  <sheetFormatPr defaultColWidth="8.85546875" defaultRowHeight="15" x14ac:dyDescent="0.25"/>
  <cols>
    <col min="1" max="1" width="39.42578125" bestFit="1" customWidth="1"/>
    <col min="3" max="3" width="4.28515625" bestFit="1" customWidth="1"/>
    <col min="4" max="4" width="7.140625" bestFit="1" customWidth="1"/>
    <col min="5" max="5" width="4" bestFit="1" customWidth="1"/>
    <col min="6" max="6" width="7.140625" bestFit="1" customWidth="1"/>
    <col min="7" max="7" width="4.7109375" bestFit="1" customWidth="1"/>
    <col min="8" max="8" width="7.140625" bestFit="1" customWidth="1"/>
    <col min="9" max="9" width="4.42578125" bestFit="1" customWidth="1"/>
    <col min="10" max="10" width="7.140625" bestFit="1" customWidth="1"/>
    <col min="11" max="11" width="4" bestFit="1" customWidth="1"/>
    <col min="12" max="12" width="7.140625" bestFit="1" customWidth="1"/>
    <col min="13" max="13" width="4.28515625" bestFit="1" customWidth="1"/>
    <col min="14" max="14" width="8.140625" bestFit="1" customWidth="1"/>
    <col min="15" max="15" width="5.42578125" bestFit="1" customWidth="1"/>
    <col min="16" max="16" width="7.140625" bestFit="1" customWidth="1"/>
    <col min="17" max="17" width="5.42578125" bestFit="1" customWidth="1"/>
    <col min="18" max="18" width="7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648" t="s">
        <v>363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</row>
    <row r="3" spans="1:26" ht="18" x14ac:dyDescent="0.35">
      <c r="A3" s="648" t="s">
        <v>331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371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99" t="s">
        <v>15</v>
      </c>
      <c r="B6" s="100" t="s">
        <v>16</v>
      </c>
      <c r="C6" s="579" t="s">
        <v>327</v>
      </c>
      <c r="D6" s="580" t="s">
        <v>1</v>
      </c>
      <c r="E6" s="579" t="s">
        <v>328</v>
      </c>
      <c r="F6" s="580" t="s">
        <v>1</v>
      </c>
      <c r="G6" s="534" t="s">
        <v>349</v>
      </c>
      <c r="H6" s="535" t="s">
        <v>1</v>
      </c>
      <c r="I6" s="534" t="s">
        <v>350</v>
      </c>
      <c r="J6" s="535" t="s">
        <v>1</v>
      </c>
      <c r="K6" s="534" t="s">
        <v>351</v>
      </c>
      <c r="L6" s="535" t="s">
        <v>1</v>
      </c>
      <c r="M6" s="534" t="s">
        <v>353</v>
      </c>
      <c r="N6" s="535" t="s">
        <v>1</v>
      </c>
      <c r="O6" s="534" t="s">
        <v>354</v>
      </c>
      <c r="P6" s="535" t="s">
        <v>1</v>
      </c>
      <c r="Q6" s="534" t="s">
        <v>2</v>
      </c>
      <c r="R6" s="535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5.75" thickTop="1" x14ac:dyDescent="0.25">
      <c r="A7" s="101" t="s">
        <v>94</v>
      </c>
      <c r="B7" s="102">
        <v>528</v>
      </c>
      <c r="C7" s="568">
        <v>163</v>
      </c>
      <c r="D7" s="576">
        <f>((C7/$B7))-1</f>
        <v>-0.69128787878787878</v>
      </c>
      <c r="E7" s="568">
        <v>202</v>
      </c>
      <c r="F7" s="576">
        <f>((E7/$B7))-1</f>
        <v>-0.61742424242424243</v>
      </c>
      <c r="G7" s="103">
        <v>251</v>
      </c>
      <c r="H7" s="104">
        <f>((G7/$B7))-1</f>
        <v>-0.52462121212121215</v>
      </c>
      <c r="I7" s="545">
        <v>226</v>
      </c>
      <c r="J7" s="104">
        <f>((I7/$B7))-1</f>
        <v>-0.57196969696969702</v>
      </c>
      <c r="K7" s="545">
        <v>241</v>
      </c>
      <c r="L7" s="104">
        <f>((K7/$B7))-1</f>
        <v>-0.54356060606060608</v>
      </c>
      <c r="M7" s="545">
        <v>291</v>
      </c>
      <c r="N7" s="104">
        <f>((M7/$B7))-1</f>
        <v>-0.44886363636363635</v>
      </c>
      <c r="O7" s="545">
        <v>210</v>
      </c>
      <c r="P7" s="104">
        <f>((O7/$B7))-1</f>
        <v>-0.60227272727272729</v>
      </c>
      <c r="Q7" s="545">
        <v>289</v>
      </c>
      <c r="R7" s="104">
        <f>((Q7/$B7))-1</f>
        <v>-0.45265151515151514</v>
      </c>
      <c r="S7" s="568">
        <v>328</v>
      </c>
      <c r="T7" s="576">
        <f t="shared" ref="T7:T14" si="0">S7/$B7</f>
        <v>0.62121212121212122</v>
      </c>
      <c r="U7" s="568">
        <v>390</v>
      </c>
      <c r="V7" s="576">
        <f t="shared" ref="V7:V14" si="1">U7/$B7</f>
        <v>0.73863636363636365</v>
      </c>
      <c r="W7" s="568">
        <v>421</v>
      </c>
      <c r="X7" s="576">
        <f t="shared" ref="X7:X14" si="2">W7/$B7</f>
        <v>0.79734848484848486</v>
      </c>
      <c r="Y7" s="568">
        <v>323</v>
      </c>
      <c r="Z7" s="576">
        <f t="shared" ref="Z7:Z14" si="3">Y7/$B7</f>
        <v>0.6117424242424242</v>
      </c>
    </row>
    <row r="8" spans="1:26" x14ac:dyDescent="0.25">
      <c r="A8" s="101" t="s">
        <v>88</v>
      </c>
      <c r="B8" s="102">
        <v>176</v>
      </c>
      <c r="C8" s="568">
        <v>111</v>
      </c>
      <c r="D8" s="576">
        <f t="shared" ref="D8:D14" si="4">((C8/$B8))-1</f>
        <v>-0.36931818181818177</v>
      </c>
      <c r="E8" s="568">
        <v>131</v>
      </c>
      <c r="F8" s="576">
        <f t="shared" ref="F8:F14" si="5">((E8/$B8))-1</f>
        <v>-0.25568181818181823</v>
      </c>
      <c r="G8" s="103">
        <v>209</v>
      </c>
      <c r="H8" s="104">
        <f t="shared" ref="H8:H14" si="6">((G8/$B8))-1</f>
        <v>0.1875</v>
      </c>
      <c r="I8" s="545">
        <v>154</v>
      </c>
      <c r="J8" s="104">
        <f t="shared" ref="J8:J14" si="7">((I8/$B8))-1</f>
        <v>-0.125</v>
      </c>
      <c r="K8" s="545">
        <v>198</v>
      </c>
      <c r="L8" s="104">
        <f t="shared" ref="L8:L14" si="8">((K8/$B8))-1</f>
        <v>0.125</v>
      </c>
      <c r="M8" s="545">
        <v>202</v>
      </c>
      <c r="N8" s="104">
        <f t="shared" ref="N8:N14" si="9">((M8/$B8))-1</f>
        <v>0.14772727272727271</v>
      </c>
      <c r="O8" s="545">
        <v>192</v>
      </c>
      <c r="P8" s="104">
        <f t="shared" ref="P8:P14" si="10">((O8/$B8))-1</f>
        <v>9.0909090909090828E-2</v>
      </c>
      <c r="Q8" s="545">
        <v>147</v>
      </c>
      <c r="R8" s="104">
        <f t="shared" ref="R8:R14" si="11">((Q8/$B8))-1</f>
        <v>-0.16477272727272729</v>
      </c>
      <c r="S8" s="568">
        <v>195</v>
      </c>
      <c r="T8" s="576">
        <f t="shared" si="0"/>
        <v>1.1079545454545454</v>
      </c>
      <c r="U8" s="568">
        <v>180</v>
      </c>
      <c r="V8" s="576">
        <f t="shared" si="1"/>
        <v>1.0227272727272727</v>
      </c>
      <c r="W8" s="568">
        <v>210</v>
      </c>
      <c r="X8" s="576">
        <f t="shared" si="2"/>
        <v>1.1931818181818181</v>
      </c>
      <c r="Y8" s="568">
        <v>157</v>
      </c>
      <c r="Z8" s="576">
        <f t="shared" si="3"/>
        <v>0.89204545454545459</v>
      </c>
    </row>
    <row r="9" spans="1:26" x14ac:dyDescent="0.25">
      <c r="A9" s="101" t="s">
        <v>89</v>
      </c>
      <c r="B9" s="102">
        <v>264</v>
      </c>
      <c r="C9" s="568">
        <v>268</v>
      </c>
      <c r="D9" s="576">
        <f t="shared" si="4"/>
        <v>1.5151515151515138E-2</v>
      </c>
      <c r="E9" s="568">
        <v>287</v>
      </c>
      <c r="F9" s="576">
        <f t="shared" si="5"/>
        <v>8.7121212121212155E-2</v>
      </c>
      <c r="G9" s="103">
        <v>319</v>
      </c>
      <c r="H9" s="104">
        <f t="shared" si="6"/>
        <v>0.20833333333333326</v>
      </c>
      <c r="I9" s="545">
        <v>256</v>
      </c>
      <c r="J9" s="104">
        <f t="shared" si="7"/>
        <v>-3.0303030303030276E-2</v>
      </c>
      <c r="K9" s="545">
        <v>260</v>
      </c>
      <c r="L9" s="104">
        <f t="shared" si="8"/>
        <v>-1.5151515151515138E-2</v>
      </c>
      <c r="M9" s="545">
        <v>174</v>
      </c>
      <c r="N9" s="104">
        <f t="shared" si="9"/>
        <v>-0.34090909090909094</v>
      </c>
      <c r="O9" s="545">
        <v>266</v>
      </c>
      <c r="P9" s="104">
        <f t="shared" si="10"/>
        <v>7.575757575757569E-3</v>
      </c>
      <c r="Q9" s="545">
        <v>303</v>
      </c>
      <c r="R9" s="104">
        <f t="shared" si="11"/>
        <v>0.14772727272727271</v>
      </c>
      <c r="S9" s="568">
        <v>269</v>
      </c>
      <c r="T9" s="576">
        <f t="shared" si="0"/>
        <v>1.018939393939394</v>
      </c>
      <c r="U9" s="568">
        <v>369</v>
      </c>
      <c r="V9" s="576">
        <f t="shared" si="1"/>
        <v>1.3977272727272727</v>
      </c>
      <c r="W9" s="568">
        <v>374</v>
      </c>
      <c r="X9" s="576">
        <f t="shared" si="2"/>
        <v>1.4166666666666667</v>
      </c>
      <c r="Y9" s="568">
        <v>227</v>
      </c>
      <c r="Z9" s="576">
        <f t="shared" si="3"/>
        <v>0.85984848484848486</v>
      </c>
    </row>
    <row r="10" spans="1:26" x14ac:dyDescent="0.25">
      <c r="A10" s="101" t="s">
        <v>90</v>
      </c>
      <c r="B10" s="102">
        <v>100</v>
      </c>
      <c r="C10" s="568">
        <v>81</v>
      </c>
      <c r="D10" s="576">
        <f t="shared" si="4"/>
        <v>-0.18999999999999995</v>
      </c>
      <c r="E10" s="568">
        <v>66</v>
      </c>
      <c r="F10" s="576">
        <f t="shared" si="5"/>
        <v>-0.33999999999999997</v>
      </c>
      <c r="G10" s="103">
        <v>84</v>
      </c>
      <c r="H10" s="104">
        <f t="shared" si="6"/>
        <v>-0.16000000000000003</v>
      </c>
      <c r="I10" s="545">
        <v>104</v>
      </c>
      <c r="J10" s="104">
        <f t="shared" si="7"/>
        <v>4.0000000000000036E-2</v>
      </c>
      <c r="K10" s="545">
        <v>57</v>
      </c>
      <c r="L10" s="104">
        <f t="shared" si="8"/>
        <v>-0.43000000000000005</v>
      </c>
      <c r="M10" s="545">
        <v>0</v>
      </c>
      <c r="N10" s="104">
        <f t="shared" si="9"/>
        <v>-1</v>
      </c>
      <c r="O10" s="545">
        <v>42</v>
      </c>
      <c r="P10" s="104">
        <f t="shared" si="10"/>
        <v>-0.58000000000000007</v>
      </c>
      <c r="Q10" s="545">
        <v>127</v>
      </c>
      <c r="R10" s="104">
        <f t="shared" si="11"/>
        <v>0.27</v>
      </c>
      <c r="S10" s="568">
        <v>134</v>
      </c>
      <c r="T10" s="576">
        <f t="shared" si="0"/>
        <v>1.34</v>
      </c>
      <c r="U10" s="568">
        <v>128</v>
      </c>
      <c r="V10" s="576">
        <f t="shared" si="1"/>
        <v>1.28</v>
      </c>
      <c r="W10" s="568">
        <v>134</v>
      </c>
      <c r="X10" s="576">
        <f t="shared" si="2"/>
        <v>1.34</v>
      </c>
      <c r="Y10" s="568">
        <v>150</v>
      </c>
      <c r="Z10" s="576">
        <f t="shared" si="3"/>
        <v>1.5</v>
      </c>
    </row>
    <row r="11" spans="1:26" x14ac:dyDescent="0.25">
      <c r="A11" s="101" t="s">
        <v>91</v>
      </c>
      <c r="B11" s="102">
        <v>100</v>
      </c>
      <c r="C11" s="568">
        <v>19</v>
      </c>
      <c r="D11" s="576">
        <f t="shared" si="4"/>
        <v>-0.81</v>
      </c>
      <c r="E11" s="568">
        <v>10</v>
      </c>
      <c r="F11" s="576">
        <f t="shared" si="5"/>
        <v>-0.9</v>
      </c>
      <c r="G11" s="103">
        <v>15</v>
      </c>
      <c r="H11" s="104">
        <f t="shared" si="6"/>
        <v>-0.85</v>
      </c>
      <c r="I11" s="545">
        <v>96</v>
      </c>
      <c r="J11" s="104">
        <f t="shared" si="7"/>
        <v>-4.0000000000000036E-2</v>
      </c>
      <c r="K11" s="545">
        <v>110</v>
      </c>
      <c r="L11" s="104">
        <f t="shared" si="8"/>
        <v>0.10000000000000009</v>
      </c>
      <c r="M11" s="545">
        <v>15</v>
      </c>
      <c r="N11" s="104">
        <f t="shared" si="9"/>
        <v>-0.85</v>
      </c>
      <c r="O11" s="545">
        <v>100</v>
      </c>
      <c r="P11" s="104">
        <f t="shared" si="10"/>
        <v>0</v>
      </c>
      <c r="Q11" s="545">
        <v>114</v>
      </c>
      <c r="R11" s="104">
        <f t="shared" si="11"/>
        <v>0.1399999999999999</v>
      </c>
      <c r="S11" s="568">
        <v>120</v>
      </c>
      <c r="T11" s="576">
        <f t="shared" si="0"/>
        <v>1.2</v>
      </c>
      <c r="U11" s="568">
        <v>110</v>
      </c>
      <c r="V11" s="576">
        <f t="shared" si="1"/>
        <v>1.1000000000000001</v>
      </c>
      <c r="W11" s="568">
        <v>115</v>
      </c>
      <c r="X11" s="576">
        <f t="shared" si="2"/>
        <v>1.1499999999999999</v>
      </c>
      <c r="Y11" s="568">
        <v>122</v>
      </c>
      <c r="Z11" s="576">
        <f t="shared" si="3"/>
        <v>1.22</v>
      </c>
    </row>
    <row r="12" spans="1:26" x14ac:dyDescent="0.25">
      <c r="A12" s="105" t="s">
        <v>92</v>
      </c>
      <c r="B12" s="106">
        <v>100</v>
      </c>
      <c r="C12" s="570">
        <v>14</v>
      </c>
      <c r="D12" s="577">
        <f t="shared" si="4"/>
        <v>-0.86</v>
      </c>
      <c r="E12" s="568">
        <v>11</v>
      </c>
      <c r="F12" s="577">
        <f t="shared" si="5"/>
        <v>-0.89</v>
      </c>
      <c r="G12" s="107">
        <v>36</v>
      </c>
      <c r="H12" s="108">
        <f t="shared" si="6"/>
        <v>-0.64</v>
      </c>
      <c r="I12" s="545">
        <v>73</v>
      </c>
      <c r="J12" s="108">
        <f t="shared" si="7"/>
        <v>-0.27</v>
      </c>
      <c r="K12" s="545">
        <v>21</v>
      </c>
      <c r="L12" s="108">
        <f t="shared" si="8"/>
        <v>-0.79</v>
      </c>
      <c r="M12" s="545">
        <v>45</v>
      </c>
      <c r="N12" s="108">
        <f t="shared" si="9"/>
        <v>-0.55000000000000004</v>
      </c>
      <c r="O12" s="545">
        <v>95</v>
      </c>
      <c r="P12" s="108">
        <f t="shared" si="10"/>
        <v>-5.0000000000000044E-2</v>
      </c>
      <c r="Q12" s="545">
        <f>91+60</f>
        <v>151</v>
      </c>
      <c r="R12" s="108">
        <f t="shared" si="11"/>
        <v>0.51</v>
      </c>
      <c r="S12" s="570">
        <v>186</v>
      </c>
      <c r="T12" s="576">
        <f t="shared" si="0"/>
        <v>1.86</v>
      </c>
      <c r="U12" s="568">
        <v>116</v>
      </c>
      <c r="V12" s="576">
        <f t="shared" si="1"/>
        <v>1.1599999999999999</v>
      </c>
      <c r="W12" s="568">
        <v>88</v>
      </c>
      <c r="X12" s="576">
        <f t="shared" si="2"/>
        <v>0.88</v>
      </c>
      <c r="Y12" s="568">
        <v>102</v>
      </c>
      <c r="Z12" s="576">
        <f t="shared" si="3"/>
        <v>1.02</v>
      </c>
    </row>
    <row r="13" spans="1:26" ht="15.75" thickBot="1" x14ac:dyDescent="0.3">
      <c r="A13" s="109" t="s">
        <v>93</v>
      </c>
      <c r="B13" s="110">
        <v>100</v>
      </c>
      <c r="C13" s="574">
        <v>12</v>
      </c>
      <c r="D13" s="575">
        <f t="shared" si="4"/>
        <v>-0.88</v>
      </c>
      <c r="E13" s="570">
        <v>3</v>
      </c>
      <c r="F13" s="575">
        <f t="shared" si="5"/>
        <v>-0.97</v>
      </c>
      <c r="G13" s="111">
        <v>8</v>
      </c>
      <c r="H13" s="112">
        <f t="shared" si="6"/>
        <v>-0.92</v>
      </c>
      <c r="I13" s="94">
        <v>20</v>
      </c>
      <c r="J13" s="112">
        <f t="shared" si="7"/>
        <v>-0.8</v>
      </c>
      <c r="K13" s="94">
        <v>86</v>
      </c>
      <c r="L13" s="112">
        <f t="shared" si="8"/>
        <v>-0.14000000000000001</v>
      </c>
      <c r="M13" s="94">
        <v>68</v>
      </c>
      <c r="N13" s="112">
        <f t="shared" si="9"/>
        <v>-0.31999999999999995</v>
      </c>
      <c r="O13" s="94">
        <v>100</v>
      </c>
      <c r="P13" s="112">
        <f t="shared" si="10"/>
        <v>0</v>
      </c>
      <c r="Q13" s="94">
        <v>38</v>
      </c>
      <c r="R13" s="112">
        <f t="shared" si="11"/>
        <v>-0.62</v>
      </c>
      <c r="S13" s="574">
        <v>46</v>
      </c>
      <c r="T13" s="577">
        <f t="shared" si="0"/>
        <v>0.46</v>
      </c>
      <c r="U13" s="570">
        <v>89</v>
      </c>
      <c r="V13" s="577">
        <f t="shared" si="1"/>
        <v>0.89</v>
      </c>
      <c r="W13" s="570">
        <v>99</v>
      </c>
      <c r="X13" s="577">
        <f t="shared" si="2"/>
        <v>0.99</v>
      </c>
      <c r="Y13" s="570">
        <v>95</v>
      </c>
      <c r="Z13" s="577">
        <f t="shared" si="3"/>
        <v>0.95</v>
      </c>
    </row>
    <row r="14" spans="1:26" ht="15.75" thickBot="1" x14ac:dyDescent="0.3">
      <c r="A14" s="68" t="s">
        <v>7</v>
      </c>
      <c r="B14" s="72">
        <f>SUM(B7:B13)</f>
        <v>1368</v>
      </c>
      <c r="C14" s="76">
        <f>SUM(C7:C13)</f>
        <v>668</v>
      </c>
      <c r="D14" s="90">
        <f t="shared" si="4"/>
        <v>-0.51169590643274854</v>
      </c>
      <c r="E14" s="76">
        <f>SUM(E7:E13)</f>
        <v>710</v>
      </c>
      <c r="F14" s="90">
        <f t="shared" si="5"/>
        <v>-0.48099415204678364</v>
      </c>
      <c r="G14" s="76">
        <f>SUM(G7:G13)</f>
        <v>922</v>
      </c>
      <c r="H14" s="90">
        <f t="shared" si="6"/>
        <v>-0.32602339181286555</v>
      </c>
      <c r="I14" s="76">
        <f>SUM(I7:I13)</f>
        <v>929</v>
      </c>
      <c r="J14" s="90">
        <f t="shared" si="7"/>
        <v>-0.32090643274853803</v>
      </c>
      <c r="K14" s="76">
        <f>SUM(K7:K13)</f>
        <v>973</v>
      </c>
      <c r="L14" s="90">
        <f t="shared" si="8"/>
        <v>-0.28874269005847952</v>
      </c>
      <c r="M14" s="76">
        <f>SUM(M7:M13)</f>
        <v>795</v>
      </c>
      <c r="N14" s="90">
        <f t="shared" si="9"/>
        <v>-0.41885964912280704</v>
      </c>
      <c r="O14" s="76">
        <f>SUM(O7:O13)</f>
        <v>1005</v>
      </c>
      <c r="P14" s="90">
        <f t="shared" si="10"/>
        <v>-0.26535087719298245</v>
      </c>
      <c r="Q14" s="76">
        <f>SUM(Q7:Q13)</f>
        <v>1169</v>
      </c>
      <c r="R14" s="90">
        <f t="shared" si="11"/>
        <v>-0.14546783625730997</v>
      </c>
      <c r="S14" s="597">
        <f>SUM(S7:S13)</f>
        <v>1278</v>
      </c>
      <c r="T14" s="598">
        <f t="shared" si="0"/>
        <v>0.93421052631578949</v>
      </c>
      <c r="U14" s="597">
        <f>SUM(U7:U13)</f>
        <v>1382</v>
      </c>
      <c r="V14" s="598">
        <f t="shared" si="1"/>
        <v>1.010233918128655</v>
      </c>
      <c r="W14" s="597">
        <f>SUM(W7:W13)</f>
        <v>1441</v>
      </c>
      <c r="X14" s="598">
        <f t="shared" si="2"/>
        <v>1.0533625730994152</v>
      </c>
      <c r="Y14" s="597">
        <f>SUM(Y7:Y13)</f>
        <v>1176</v>
      </c>
      <c r="Z14" s="598">
        <f t="shared" si="3"/>
        <v>0.85964912280701755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&amp;LFonte: Sistema WEBSAASS&amp;RPag.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Z10"/>
  <sheetViews>
    <sheetView zoomScalePageLayoutView="110" workbookViewId="0"/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8.140625" bestFit="1" customWidth="1"/>
    <col min="5" max="5" width="5.42578125" bestFit="1" customWidth="1"/>
    <col min="6" max="6" width="8.140625" bestFit="1" customWidth="1"/>
    <col min="7" max="7" width="5.42578125" bestFit="1" customWidth="1"/>
    <col min="8" max="8" width="8.140625" bestFit="1" customWidth="1"/>
    <col min="9" max="9" width="5.42578125" bestFit="1" customWidth="1"/>
    <col min="10" max="10" width="8.140625" bestFit="1" customWidth="1"/>
    <col min="11" max="11" width="5.42578125" bestFit="1" customWidth="1"/>
    <col min="12" max="12" width="8.140625" bestFit="1" customWidth="1"/>
    <col min="13" max="13" width="5.42578125" bestFit="1" customWidth="1"/>
    <col min="14" max="14" width="8.140625" bestFit="1" customWidth="1"/>
    <col min="15" max="15" width="4.42578125" bestFit="1" customWidth="1"/>
    <col min="16" max="16" width="8.140625" bestFit="1" customWidth="1"/>
    <col min="17" max="17" width="5.5703125" bestFit="1" customWidth="1"/>
    <col min="18" max="18" width="8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" bestFit="1" customWidth="1"/>
    <col min="23" max="23" width="5.42578125" bestFit="1" customWidth="1"/>
    <col min="24" max="24" width="7" bestFit="1" customWidth="1"/>
    <col min="25" max="25" width="5.42578125" bestFit="1" customWidth="1"/>
    <col min="26" max="26" width="7" bestFit="1" customWidth="1"/>
  </cols>
  <sheetData>
    <row r="2" spans="1:26" ht="18" x14ac:dyDescent="0.35">
      <c r="A2" s="661" t="s">
        <v>363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</row>
    <row r="3" spans="1:26" ht="18" x14ac:dyDescent="0.35">
      <c r="A3" s="648" t="s">
        <v>331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370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79" t="s">
        <v>109</v>
      </c>
      <c r="B6" s="20" t="s">
        <v>16</v>
      </c>
      <c r="C6" s="581" t="s">
        <v>327</v>
      </c>
      <c r="D6" s="582" t="s">
        <v>1</v>
      </c>
      <c r="E6" s="581" t="s">
        <v>328</v>
      </c>
      <c r="F6" s="582" t="s">
        <v>1</v>
      </c>
      <c r="G6" s="534" t="s">
        <v>349</v>
      </c>
      <c r="H6" s="535" t="s">
        <v>1</v>
      </c>
      <c r="I6" s="534" t="s">
        <v>350</v>
      </c>
      <c r="J6" s="535" t="s">
        <v>1</v>
      </c>
      <c r="K6" s="534" t="s">
        <v>351</v>
      </c>
      <c r="L6" s="535" t="s">
        <v>1</v>
      </c>
      <c r="M6" s="534" t="s">
        <v>353</v>
      </c>
      <c r="N6" s="535" t="s">
        <v>1</v>
      </c>
      <c r="O6" s="534" t="s">
        <v>354</v>
      </c>
      <c r="P6" s="535" t="s">
        <v>1</v>
      </c>
      <c r="Q6" s="534" t="s">
        <v>2</v>
      </c>
      <c r="R6" s="535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23.25" customHeight="1" thickTop="1" x14ac:dyDescent="0.25">
      <c r="A7" s="80" t="s">
        <v>149</v>
      </c>
      <c r="B7" s="21">
        <v>180</v>
      </c>
      <c r="C7" s="422">
        <v>364</v>
      </c>
      <c r="D7" s="583">
        <f>((C7/$B7))-1</f>
        <v>1.0222222222222221</v>
      </c>
      <c r="E7" s="422">
        <v>487</v>
      </c>
      <c r="F7" s="583">
        <f>((E7/$B7))-1</f>
        <v>1.7055555555555557</v>
      </c>
      <c r="G7" s="422">
        <v>490</v>
      </c>
      <c r="H7" s="22">
        <f>((G7/$B7))-1</f>
        <v>1.7222222222222223</v>
      </c>
      <c r="I7" s="422">
        <v>349</v>
      </c>
      <c r="J7" s="22">
        <f>((I7/$B7))-1</f>
        <v>0.93888888888888888</v>
      </c>
      <c r="K7" s="422">
        <v>322</v>
      </c>
      <c r="L7" s="22">
        <f>((K7/$B7))-1</f>
        <v>0.78888888888888897</v>
      </c>
      <c r="M7" s="422">
        <v>230</v>
      </c>
      <c r="N7" s="22">
        <f>((M7/$B7))-1</f>
        <v>0.27777777777777768</v>
      </c>
      <c r="O7" s="422">
        <v>155</v>
      </c>
      <c r="P7" s="22">
        <f>((O7/$B7))-1</f>
        <v>-0.13888888888888884</v>
      </c>
      <c r="Q7" s="551">
        <v>478</v>
      </c>
      <c r="R7" s="22">
        <f>((Q7/$B7))-1</f>
        <v>1.6555555555555554</v>
      </c>
      <c r="S7" s="422">
        <v>325</v>
      </c>
      <c r="T7" s="583">
        <f t="shared" ref="T7:T8" si="0">S7/$B7</f>
        <v>1.8055555555555556</v>
      </c>
      <c r="U7" s="422">
        <v>368</v>
      </c>
      <c r="V7" s="583">
        <f t="shared" ref="V7:V8" si="1">U7/$B7</f>
        <v>2.0444444444444443</v>
      </c>
      <c r="W7" s="422">
        <v>343</v>
      </c>
      <c r="X7" s="583">
        <f t="shared" ref="X7:X8" si="2">W7/$B7</f>
        <v>1.9055555555555554</v>
      </c>
      <c r="Y7" s="422">
        <v>241</v>
      </c>
      <c r="Z7" s="583">
        <f t="shared" ref="Z7:Z8" si="3">Y7/$B7</f>
        <v>1.3388888888888888</v>
      </c>
    </row>
    <row r="8" spans="1:26" ht="23.25" customHeight="1" thickBot="1" x14ac:dyDescent="0.3">
      <c r="A8" s="81" t="s">
        <v>150</v>
      </c>
      <c r="B8" s="82">
        <v>490</v>
      </c>
      <c r="C8" s="584">
        <v>840</v>
      </c>
      <c r="D8" s="585">
        <f t="shared" ref="D8:D9" si="4">((C8/$B8))-1</f>
        <v>0.71428571428571419</v>
      </c>
      <c r="E8" s="547">
        <v>917</v>
      </c>
      <c r="F8" s="585">
        <f t="shared" ref="F8:F9" si="5">((E8/$B8))-1</f>
        <v>0.87142857142857144</v>
      </c>
      <c r="G8" s="423">
        <v>1123</v>
      </c>
      <c r="H8" s="83">
        <f t="shared" ref="H8:H9" si="6">((G8/$B8))-1</f>
        <v>1.2918367346938777</v>
      </c>
      <c r="I8" s="547">
        <v>964</v>
      </c>
      <c r="J8" s="83">
        <f t="shared" ref="J8:J9" si="7">((I8/$B8))-1</f>
        <v>0.96734693877551026</v>
      </c>
      <c r="K8" s="547">
        <v>957</v>
      </c>
      <c r="L8" s="83">
        <f t="shared" ref="L8:L9" si="8">((K8/$B8))-1</f>
        <v>0.95306122448979602</v>
      </c>
      <c r="M8" s="547">
        <v>974</v>
      </c>
      <c r="N8" s="83">
        <f t="shared" ref="N8:N9" si="9">((M8/$B8))-1</f>
        <v>0.9877551020408164</v>
      </c>
      <c r="O8" s="547">
        <v>693</v>
      </c>
      <c r="P8" s="83">
        <f t="shared" ref="P8:P9" si="10">((O8/$B8))-1</f>
        <v>0.41428571428571437</v>
      </c>
      <c r="Q8" s="552">
        <v>1140</v>
      </c>
      <c r="R8" s="83">
        <f t="shared" ref="R8:R9" si="11">((Q8/$B8))-1</f>
        <v>1.3265306122448979</v>
      </c>
      <c r="S8" s="423">
        <v>761</v>
      </c>
      <c r="T8" s="613">
        <f t="shared" si="0"/>
        <v>1.5530612244897959</v>
      </c>
      <c r="U8" s="547">
        <v>820</v>
      </c>
      <c r="V8" s="613">
        <f t="shared" si="1"/>
        <v>1.6734693877551021</v>
      </c>
      <c r="W8" s="547">
        <v>753</v>
      </c>
      <c r="X8" s="613">
        <f t="shared" si="2"/>
        <v>1.536734693877551</v>
      </c>
      <c r="Y8" s="547">
        <v>817</v>
      </c>
      <c r="Z8" s="613">
        <f t="shared" si="3"/>
        <v>1.6673469387755102</v>
      </c>
    </row>
    <row r="9" spans="1:26" ht="23.25" customHeight="1" thickBot="1" x14ac:dyDescent="0.3">
      <c r="A9" s="68" t="s">
        <v>7</v>
      </c>
      <c r="B9" s="72">
        <f>SUM(B7:B8)</f>
        <v>670</v>
      </c>
      <c r="C9" s="73">
        <f>SUM(C7:C8)</f>
        <v>1204</v>
      </c>
      <c r="D9" s="74">
        <f t="shared" si="4"/>
        <v>0.79701492537313423</v>
      </c>
      <c r="E9" s="73">
        <f>SUM(E7:E8)</f>
        <v>1404</v>
      </c>
      <c r="F9" s="74">
        <f t="shared" si="5"/>
        <v>1.0955223880597016</v>
      </c>
      <c r="G9" s="73">
        <f>SUM(G7:G8)</f>
        <v>1613</v>
      </c>
      <c r="H9" s="74">
        <f t="shared" si="6"/>
        <v>1.4074626865671642</v>
      </c>
      <c r="I9" s="73">
        <f>SUM(I7:I8)</f>
        <v>1313</v>
      </c>
      <c r="J9" s="74">
        <f t="shared" si="7"/>
        <v>0.95970149253731352</v>
      </c>
      <c r="K9" s="73">
        <f>SUM(K7:K8)</f>
        <v>1279</v>
      </c>
      <c r="L9" s="74">
        <f t="shared" si="8"/>
        <v>0.90895522388059691</v>
      </c>
      <c r="M9" s="73">
        <f>SUM(M7:M8)</f>
        <v>1204</v>
      </c>
      <c r="N9" s="74">
        <f t="shared" si="9"/>
        <v>0.79701492537313423</v>
      </c>
      <c r="O9" s="73">
        <f>SUM(O7:O8)</f>
        <v>848</v>
      </c>
      <c r="P9" s="74">
        <f t="shared" si="10"/>
        <v>0.26567164179104474</v>
      </c>
      <c r="Q9" s="73">
        <f>SUM(Q7:Q8)</f>
        <v>1618</v>
      </c>
      <c r="R9" s="74">
        <f t="shared" si="11"/>
        <v>1.4149253731343285</v>
      </c>
      <c r="S9" s="614">
        <f>SUM(S7:S8)</f>
        <v>1086</v>
      </c>
      <c r="T9" s="615">
        <f>((S9/$B$9))-1</f>
        <v>0.62089552238805967</v>
      </c>
      <c r="U9" s="614">
        <f>SUM(U7:U8)</f>
        <v>1188</v>
      </c>
      <c r="V9" s="615">
        <f>((U9/$B$9))-1</f>
        <v>0.77313432835820906</v>
      </c>
      <c r="W9" s="614">
        <f>SUM(W7:W8)</f>
        <v>1096</v>
      </c>
      <c r="X9" s="615">
        <f>((W9/$B$9))-1</f>
        <v>0.63582089552238807</v>
      </c>
      <c r="Y9" s="614">
        <f>SUM(Y7:Y8)</f>
        <v>1058</v>
      </c>
      <c r="Z9" s="615">
        <f>((Y9/$B$9))-1</f>
        <v>0.57910447761194028</v>
      </c>
    </row>
    <row r="10" spans="1:26" s="12" customFormat="1" x14ac:dyDescent="0.25">
      <c r="A10" s="7"/>
      <c r="B10" s="8"/>
      <c r="C10" s="10"/>
      <c r="D10" s="11"/>
      <c r="G10" s="8"/>
      <c r="H10" s="9"/>
      <c r="I10" s="8"/>
      <c r="J10" s="9"/>
      <c r="K10" s="8"/>
      <c r="L10" s="9"/>
      <c r="M10" s="8"/>
      <c r="N10" s="9"/>
      <c r="O10" s="10"/>
      <c r="P10" s="11"/>
      <c r="S10" s="8"/>
      <c r="T10" s="9"/>
      <c r="U10" s="8"/>
      <c r="V10" s="9"/>
      <c r="W10" s="8"/>
      <c r="X10" s="9"/>
      <c r="Y10" s="8"/>
      <c r="Z10" s="9"/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Z8"/>
  <sheetViews>
    <sheetView workbookViewId="0"/>
  </sheetViews>
  <sheetFormatPr defaultColWidth="8.85546875" defaultRowHeight="15" x14ac:dyDescent="0.25"/>
  <cols>
    <col min="1" max="1" width="39.42578125" bestFit="1" customWidth="1"/>
    <col min="3" max="3" width="4.28515625" bestFit="1" customWidth="1"/>
    <col min="4" max="4" width="8.140625" bestFit="1" customWidth="1"/>
    <col min="5" max="5" width="4" bestFit="1" customWidth="1"/>
    <col min="6" max="6" width="7.140625" bestFit="1" customWidth="1"/>
    <col min="7" max="7" width="4.7109375" bestFit="1" customWidth="1"/>
    <col min="8" max="8" width="7.140625" bestFit="1" customWidth="1"/>
    <col min="9" max="9" width="4.42578125" bestFit="1" customWidth="1"/>
    <col min="10" max="10" width="7.140625" bestFit="1" customWidth="1"/>
    <col min="11" max="11" width="4" bestFit="1" customWidth="1"/>
    <col min="12" max="12" width="7.140625" bestFit="1" customWidth="1"/>
    <col min="13" max="13" width="4.28515625" bestFit="1" customWidth="1"/>
    <col min="14" max="14" width="7.140625" bestFit="1" customWidth="1"/>
    <col min="15" max="15" width="4.140625" bestFit="1" customWidth="1"/>
    <col min="16" max="16" width="7.140625" bestFit="1" customWidth="1"/>
    <col min="17" max="17" width="4.5703125" bestFit="1" customWidth="1"/>
    <col min="18" max="18" width="7.140625" bestFit="1" customWidth="1"/>
    <col min="19" max="19" width="4.140625" bestFit="1" customWidth="1"/>
    <col min="20" max="20" width="7.5703125" bestFit="1" customWidth="1"/>
    <col min="21" max="21" width="4.42578125" bestFit="1" customWidth="1"/>
    <col min="22" max="22" width="7.5703125" bestFit="1" customWidth="1"/>
    <col min="23" max="23" width="4.5703125" bestFit="1" customWidth="1"/>
    <col min="24" max="24" width="7.5703125" bestFit="1" customWidth="1"/>
    <col min="25" max="25" width="4.140625" bestFit="1" customWidth="1"/>
    <col min="26" max="26" width="7.5703125" bestFit="1" customWidth="1"/>
  </cols>
  <sheetData>
    <row r="2" spans="1:26" ht="18" x14ac:dyDescent="0.35">
      <c r="A2" s="661" t="s">
        <v>363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</row>
    <row r="3" spans="1:26" ht="18" x14ac:dyDescent="0.35">
      <c r="A3" s="648" t="s">
        <v>331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369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66" t="s">
        <v>108</v>
      </c>
      <c r="B6" s="3" t="s">
        <v>16</v>
      </c>
      <c r="C6" s="579" t="s">
        <v>327</v>
      </c>
      <c r="D6" s="580" t="s">
        <v>1</v>
      </c>
      <c r="E6" s="579" t="s">
        <v>328</v>
      </c>
      <c r="F6" s="580" t="s">
        <v>1</v>
      </c>
      <c r="G6" s="534" t="s">
        <v>349</v>
      </c>
      <c r="H6" s="535" t="s">
        <v>1</v>
      </c>
      <c r="I6" s="534" t="s">
        <v>350</v>
      </c>
      <c r="J6" s="535" t="s">
        <v>1</v>
      </c>
      <c r="K6" s="534" t="s">
        <v>351</v>
      </c>
      <c r="L6" s="535" t="s">
        <v>1</v>
      </c>
      <c r="M6" s="534" t="s">
        <v>353</v>
      </c>
      <c r="N6" s="535" t="s">
        <v>1</v>
      </c>
      <c r="O6" s="534" t="s">
        <v>354</v>
      </c>
      <c r="P6" s="535" t="s">
        <v>1</v>
      </c>
      <c r="Q6" s="534" t="s">
        <v>2</v>
      </c>
      <c r="R6" s="535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6.5" thickTop="1" thickBot="1" x14ac:dyDescent="0.3">
      <c r="A7" s="84" t="s">
        <v>147</v>
      </c>
      <c r="B7" s="85">
        <v>70</v>
      </c>
      <c r="C7" s="25">
        <v>0</v>
      </c>
      <c r="D7" s="26">
        <f>((C7/$B7))-1</f>
        <v>-1</v>
      </c>
      <c r="E7" s="25">
        <v>11</v>
      </c>
      <c r="F7" s="26">
        <f>((E7/$B7))-1</f>
        <v>-0.84285714285714286</v>
      </c>
      <c r="G7" s="25">
        <v>17</v>
      </c>
      <c r="H7" s="26">
        <f>((G7/$B7))-1</f>
        <v>-0.75714285714285712</v>
      </c>
      <c r="I7" s="25">
        <v>18</v>
      </c>
      <c r="J7" s="26">
        <f>((I7/$B7))-1</f>
        <v>-0.74285714285714288</v>
      </c>
      <c r="K7" s="25">
        <v>19</v>
      </c>
      <c r="L7" s="26">
        <f>((K7/$B7))-1</f>
        <v>-0.72857142857142865</v>
      </c>
      <c r="M7" s="25">
        <v>20</v>
      </c>
      <c r="N7" s="26">
        <f>((M7/$B7))-1</f>
        <v>-0.7142857142857143</v>
      </c>
      <c r="O7" s="25">
        <v>20</v>
      </c>
      <c r="P7" s="26">
        <f>((O7/$B7))-1</f>
        <v>-0.7142857142857143</v>
      </c>
      <c r="Q7" s="25">
        <v>31</v>
      </c>
      <c r="R7" s="26">
        <f>((Q7/$B7))-1</f>
        <v>-0.55714285714285716</v>
      </c>
      <c r="S7" s="25">
        <v>31</v>
      </c>
      <c r="T7" s="26">
        <f t="shared" ref="T7" si="0">S7/$B7</f>
        <v>0.44285714285714284</v>
      </c>
      <c r="U7" s="25">
        <v>70</v>
      </c>
      <c r="V7" s="26">
        <f t="shared" ref="V7" si="1">U7/$B7</f>
        <v>1</v>
      </c>
      <c r="W7" s="25">
        <v>70</v>
      </c>
      <c r="X7" s="26">
        <f t="shared" ref="X7" si="2">W7/$B7</f>
        <v>1</v>
      </c>
      <c r="Y7" s="25">
        <v>70</v>
      </c>
      <c r="Z7" s="26">
        <f t="shared" ref="Z7" si="3">Y7/$B7</f>
        <v>1</v>
      </c>
    </row>
    <row r="8" spans="1:26" ht="15.75" thickBot="1" x14ac:dyDescent="0.3">
      <c r="A8" s="86" t="s">
        <v>7</v>
      </c>
      <c r="B8" s="87">
        <f>SUM(B7)</f>
        <v>70</v>
      </c>
      <c r="C8" s="88">
        <f>SUM(C7)</f>
        <v>0</v>
      </c>
      <c r="D8" s="561">
        <f>((C8/$B8))-1</f>
        <v>-1</v>
      </c>
      <c r="E8" s="88">
        <f>SUM(E7)</f>
        <v>11</v>
      </c>
      <c r="F8" s="561">
        <f>((E8/$B8))-1</f>
        <v>-0.84285714285714286</v>
      </c>
      <c r="G8" s="88">
        <f>SUM(G7)</f>
        <v>17</v>
      </c>
      <c r="H8" s="89">
        <f>((G8/$B8))-1</f>
        <v>-0.75714285714285712</v>
      </c>
      <c r="I8" s="88">
        <f>SUM(I7)</f>
        <v>18</v>
      </c>
      <c r="J8" s="89">
        <f>((I8/$B8))-1</f>
        <v>-0.74285714285714288</v>
      </c>
      <c r="K8" s="88">
        <f>SUM(K7)</f>
        <v>19</v>
      </c>
      <c r="L8" s="89">
        <f>((K8/$B8))-1</f>
        <v>-0.72857142857142865</v>
      </c>
      <c r="M8" s="88">
        <f>SUM(M7)</f>
        <v>20</v>
      </c>
      <c r="N8" s="89">
        <f>((M8/$B8))-1</f>
        <v>-0.7142857142857143</v>
      </c>
      <c r="O8" s="88">
        <f>SUM(O7)</f>
        <v>20</v>
      </c>
      <c r="P8" s="395">
        <f>((O8/$B8))-1</f>
        <v>-0.7142857142857143</v>
      </c>
      <c r="Q8" s="88">
        <f>SUM(Q7)</f>
        <v>31</v>
      </c>
      <c r="R8" s="395">
        <f>((Q8/$B8))-1</f>
        <v>-0.55714285714285716</v>
      </c>
      <c r="S8" s="88">
        <f>SUM(S7)</f>
        <v>31</v>
      </c>
      <c r="T8" s="561">
        <f>((S8/$B$8))-1</f>
        <v>-0.55714285714285716</v>
      </c>
      <c r="U8" s="88">
        <f>SUM(U7)</f>
        <v>70</v>
      </c>
      <c r="V8" s="561">
        <f>((U8/$B$8))-1</f>
        <v>0</v>
      </c>
      <c r="W8" s="88">
        <f>SUM(W7)</f>
        <v>70</v>
      </c>
      <c r="X8" s="561">
        <f>((W8/$B$8))-1</f>
        <v>0</v>
      </c>
      <c r="Y8" s="88">
        <f>SUM(Y7)</f>
        <v>70</v>
      </c>
      <c r="Z8" s="561">
        <f>((Y8/$B$8))-1</f>
        <v>0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Z12"/>
  <sheetViews>
    <sheetView workbookViewId="0"/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7.5703125" bestFit="1" customWidth="1"/>
    <col min="5" max="5" width="5.42578125" bestFit="1" customWidth="1"/>
    <col min="6" max="6" width="7.5703125" bestFit="1" customWidth="1"/>
    <col min="7" max="7" width="5.42578125" bestFit="1" customWidth="1"/>
    <col min="8" max="8" width="7.5703125" bestFit="1" customWidth="1"/>
    <col min="9" max="9" width="5.42578125" bestFit="1" customWidth="1"/>
    <col min="10" max="10" width="7.5703125" bestFit="1" customWidth="1"/>
    <col min="11" max="11" width="5.42578125" bestFit="1" customWidth="1"/>
    <col min="12" max="12" width="7.5703125" bestFit="1" customWidth="1"/>
    <col min="13" max="13" width="5.42578125" bestFit="1" customWidth="1"/>
    <col min="14" max="14" width="7.5703125" bestFit="1" customWidth="1"/>
    <col min="15" max="15" width="5.42578125" bestFit="1" customWidth="1"/>
    <col min="16" max="16" width="7.5703125" bestFit="1" customWidth="1"/>
    <col min="17" max="17" width="5.42578125" bestFit="1" customWidth="1"/>
    <col min="18" max="18" width="7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6.5703125" bestFit="1" customWidth="1"/>
    <col min="23" max="23" width="5.42578125" bestFit="1" customWidth="1"/>
    <col min="24" max="24" width="6.5703125" bestFit="1" customWidth="1"/>
    <col min="25" max="25" width="5.42578125" bestFit="1" customWidth="1"/>
    <col min="26" max="26" width="6.5703125" bestFit="1" customWidth="1"/>
  </cols>
  <sheetData>
    <row r="2" spans="1:26" ht="18" x14ac:dyDescent="0.35">
      <c r="A2" s="648" t="s">
        <v>363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</row>
    <row r="3" spans="1:26" ht="18" x14ac:dyDescent="0.35">
      <c r="A3" s="648" t="s">
        <v>331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368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168" t="s">
        <v>15</v>
      </c>
      <c r="B6" s="169" t="s">
        <v>16</v>
      </c>
      <c r="C6" s="579" t="s">
        <v>327</v>
      </c>
      <c r="D6" s="580" t="s">
        <v>1</v>
      </c>
      <c r="E6" s="579" t="s">
        <v>328</v>
      </c>
      <c r="F6" s="580" t="s">
        <v>1</v>
      </c>
      <c r="G6" s="534" t="s">
        <v>349</v>
      </c>
      <c r="H6" s="535" t="s">
        <v>1</v>
      </c>
      <c r="I6" s="534" t="s">
        <v>350</v>
      </c>
      <c r="J6" s="535" t="s">
        <v>1</v>
      </c>
      <c r="K6" s="534" t="s">
        <v>351</v>
      </c>
      <c r="L6" s="535" t="s">
        <v>1</v>
      </c>
      <c r="M6" s="534" t="s">
        <v>353</v>
      </c>
      <c r="N6" s="535" t="s">
        <v>1</v>
      </c>
      <c r="O6" s="534" t="s">
        <v>354</v>
      </c>
      <c r="P6" s="535" t="s">
        <v>1</v>
      </c>
      <c r="Q6" s="534" t="s">
        <v>2</v>
      </c>
      <c r="R6" s="535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5.75" thickTop="1" x14ac:dyDescent="0.25">
      <c r="A7" s="170" t="s">
        <v>9</v>
      </c>
      <c r="B7" s="1">
        <v>666</v>
      </c>
      <c r="C7" s="418">
        <v>377</v>
      </c>
      <c r="D7" s="420">
        <f>((C7/$B7))-1</f>
        <v>-0.43393393393393398</v>
      </c>
      <c r="E7" s="418">
        <v>342</v>
      </c>
      <c r="F7" s="420">
        <f>((E7/$B7))-1</f>
        <v>-0.48648648648648651</v>
      </c>
      <c r="G7" s="2">
        <v>486</v>
      </c>
      <c r="H7" s="5">
        <f>((G7/$B7))-1</f>
        <v>-0.27027027027027029</v>
      </c>
      <c r="I7" s="418">
        <v>485</v>
      </c>
      <c r="J7" s="5">
        <f>((I7/$B7))-1</f>
        <v>-0.27177177177177181</v>
      </c>
      <c r="K7" s="418">
        <v>560</v>
      </c>
      <c r="L7" s="5">
        <f>((K7/$B7))-1</f>
        <v>-0.15915915915915912</v>
      </c>
      <c r="M7" s="418">
        <v>775</v>
      </c>
      <c r="N7" s="5">
        <f>((M7/$B7))-1</f>
        <v>0.16366366366366369</v>
      </c>
      <c r="O7" s="418">
        <v>415</v>
      </c>
      <c r="P7" s="5">
        <f>((O7/$B7))-1</f>
        <v>-0.37687687687687688</v>
      </c>
      <c r="Q7" s="418">
        <v>760</v>
      </c>
      <c r="R7" s="5">
        <f>((Q7/$B7))-1</f>
        <v>0.14114114114114118</v>
      </c>
      <c r="S7" s="418">
        <v>799</v>
      </c>
      <c r="T7" s="420">
        <f t="shared" ref="T7:T12" si="0">S7/$B7</f>
        <v>1.1996996996996998</v>
      </c>
      <c r="U7" s="418">
        <v>654</v>
      </c>
      <c r="V7" s="420">
        <f t="shared" ref="V7:V12" si="1">U7/$B7</f>
        <v>0.98198198198198194</v>
      </c>
      <c r="W7" s="418">
        <v>592</v>
      </c>
      <c r="X7" s="420">
        <f t="shared" ref="X7:X12" si="2">W7/$B7</f>
        <v>0.88888888888888884</v>
      </c>
      <c r="Y7" s="418">
        <v>545</v>
      </c>
      <c r="Z7" s="420">
        <f t="shared" ref="Z7:Z12" si="3">Y7/$B7</f>
        <v>0.81831831831831836</v>
      </c>
    </row>
    <row r="8" spans="1:26" x14ac:dyDescent="0.25">
      <c r="A8" s="170" t="s">
        <v>10</v>
      </c>
      <c r="B8" s="171">
        <v>2664</v>
      </c>
      <c r="C8" s="568">
        <v>1405</v>
      </c>
      <c r="D8" s="420">
        <f t="shared" ref="D8:D12" si="4">((C8/$B8))-1</f>
        <v>-0.47259759759759756</v>
      </c>
      <c r="E8" s="568">
        <v>1389</v>
      </c>
      <c r="F8" s="420">
        <f t="shared" ref="F8:F12" si="5">((E8/$B8))-1</f>
        <v>-0.47860360360360366</v>
      </c>
      <c r="G8" s="172">
        <v>1792</v>
      </c>
      <c r="H8" s="5">
        <f t="shared" ref="H8:H12" si="6">((G8/$B8))-1</f>
        <v>-0.32732732732732728</v>
      </c>
      <c r="I8" s="545">
        <v>860</v>
      </c>
      <c r="J8" s="5">
        <f t="shared" ref="J8:J12" si="7">((I8/$B8))-1</f>
        <v>-0.67717717717717718</v>
      </c>
      <c r="K8" s="545">
        <v>1500</v>
      </c>
      <c r="L8" s="5">
        <f t="shared" ref="L8:L12" si="8">((K8/$B8))-1</f>
        <v>-0.43693693693693691</v>
      </c>
      <c r="M8" s="545">
        <v>1838</v>
      </c>
      <c r="N8" s="5">
        <f t="shared" ref="N8:N12" si="9">((M8/$B8))-1</f>
        <v>-0.31006006006006004</v>
      </c>
      <c r="O8" s="554">
        <v>1326</v>
      </c>
      <c r="P8" s="5">
        <f t="shared" ref="P8:P12" si="10">((O8/$B8))-1</f>
        <v>-0.50225225225225223</v>
      </c>
      <c r="Q8" s="554">
        <v>1988</v>
      </c>
      <c r="R8" s="5">
        <f t="shared" ref="R8:R12" si="11">((Q8/$B8))-1</f>
        <v>-0.25375375375375375</v>
      </c>
      <c r="S8" s="568">
        <v>2046</v>
      </c>
      <c r="T8" s="576">
        <f t="shared" si="0"/>
        <v>0.76801801801801806</v>
      </c>
      <c r="U8" s="568">
        <v>1746</v>
      </c>
      <c r="V8" s="576">
        <f t="shared" si="1"/>
        <v>0.65540540540540537</v>
      </c>
      <c r="W8" s="568">
        <v>1715</v>
      </c>
      <c r="X8" s="576">
        <f t="shared" si="2"/>
        <v>0.64376876876876876</v>
      </c>
      <c r="Y8" s="568">
        <v>1908</v>
      </c>
      <c r="Z8" s="576">
        <f t="shared" si="3"/>
        <v>0.71621621621621623</v>
      </c>
    </row>
    <row r="9" spans="1:26" x14ac:dyDescent="0.25">
      <c r="A9" s="170" t="s">
        <v>11</v>
      </c>
      <c r="B9" s="171">
        <v>789</v>
      </c>
      <c r="C9" s="568">
        <v>736</v>
      </c>
      <c r="D9" s="420">
        <f t="shared" si="4"/>
        <v>-6.7173637515842821E-2</v>
      </c>
      <c r="E9" s="568">
        <v>640</v>
      </c>
      <c r="F9" s="420">
        <f t="shared" si="5"/>
        <v>-0.18884664131812423</v>
      </c>
      <c r="G9" s="172">
        <v>962</v>
      </c>
      <c r="H9" s="5">
        <f t="shared" si="6"/>
        <v>0.21926489226869461</v>
      </c>
      <c r="I9" s="545">
        <v>727</v>
      </c>
      <c r="J9" s="5">
        <f t="shared" si="7"/>
        <v>-7.8580481622306686E-2</v>
      </c>
      <c r="K9" s="545">
        <v>703</v>
      </c>
      <c r="L9" s="5">
        <f t="shared" si="8"/>
        <v>-0.10899873257287707</v>
      </c>
      <c r="M9" s="545">
        <v>805</v>
      </c>
      <c r="N9" s="5">
        <f t="shared" si="9"/>
        <v>2.0278833967046994E-2</v>
      </c>
      <c r="O9" s="554">
        <v>775</v>
      </c>
      <c r="P9" s="5">
        <f t="shared" si="10"/>
        <v>-1.7743979721166037E-2</v>
      </c>
      <c r="Q9" s="554">
        <v>873</v>
      </c>
      <c r="R9" s="5">
        <f t="shared" si="11"/>
        <v>0.10646387832699622</v>
      </c>
      <c r="S9" s="568">
        <v>468</v>
      </c>
      <c r="T9" s="576">
        <f t="shared" si="0"/>
        <v>0.59315589353612164</v>
      </c>
      <c r="U9" s="568">
        <v>690</v>
      </c>
      <c r="V9" s="576">
        <f t="shared" si="1"/>
        <v>0.87452471482889738</v>
      </c>
      <c r="W9" s="568">
        <v>692</v>
      </c>
      <c r="X9" s="576">
        <f t="shared" si="2"/>
        <v>0.87705956907477822</v>
      </c>
      <c r="Y9" s="568">
        <v>478</v>
      </c>
      <c r="Z9" s="576">
        <f t="shared" si="3"/>
        <v>0.60583016476552598</v>
      </c>
    </row>
    <row r="10" spans="1:26" x14ac:dyDescent="0.25">
      <c r="A10" s="173" t="s">
        <v>43</v>
      </c>
      <c r="B10" s="174">
        <v>789</v>
      </c>
      <c r="C10" s="570">
        <v>259</v>
      </c>
      <c r="D10" s="560">
        <f t="shared" si="4"/>
        <v>-0.67173637515842843</v>
      </c>
      <c r="E10" s="568">
        <v>406</v>
      </c>
      <c r="F10" s="560">
        <f t="shared" si="5"/>
        <v>-0.48542458808618505</v>
      </c>
      <c r="G10" s="175">
        <v>347</v>
      </c>
      <c r="H10" s="62">
        <f t="shared" si="6"/>
        <v>-0.56020278833967052</v>
      </c>
      <c r="I10" s="545">
        <v>462</v>
      </c>
      <c r="J10" s="62">
        <f t="shared" si="7"/>
        <v>-0.4144486692015209</v>
      </c>
      <c r="K10" s="545">
        <v>554</v>
      </c>
      <c r="L10" s="62">
        <f t="shared" si="8"/>
        <v>-0.2978453738910013</v>
      </c>
      <c r="M10" s="545">
        <v>466</v>
      </c>
      <c r="N10" s="62">
        <f t="shared" si="9"/>
        <v>-0.40937896070975921</v>
      </c>
      <c r="O10" s="554">
        <v>489</v>
      </c>
      <c r="P10" s="394">
        <f t="shared" si="10"/>
        <v>-0.38022813688212931</v>
      </c>
      <c r="Q10" s="554">
        <v>596</v>
      </c>
      <c r="R10" s="394">
        <f t="shared" si="11"/>
        <v>-0.24461343472750319</v>
      </c>
      <c r="S10" s="570">
        <v>514</v>
      </c>
      <c r="T10" s="576">
        <f t="shared" si="0"/>
        <v>0.65145754119138155</v>
      </c>
      <c r="U10" s="568">
        <v>519</v>
      </c>
      <c r="V10" s="576">
        <f t="shared" si="1"/>
        <v>0.65779467680608361</v>
      </c>
      <c r="W10" s="568">
        <v>462</v>
      </c>
      <c r="X10" s="576">
        <f t="shared" si="2"/>
        <v>0.5855513307984791</v>
      </c>
      <c r="Y10" s="568">
        <v>474</v>
      </c>
      <c r="Z10" s="576">
        <f t="shared" si="3"/>
        <v>0.60076045627376429</v>
      </c>
    </row>
    <row r="11" spans="1:26" ht="15.75" thickBot="1" x14ac:dyDescent="0.3">
      <c r="A11" s="176" t="s">
        <v>14</v>
      </c>
      <c r="B11" s="177">
        <v>789</v>
      </c>
      <c r="C11" s="574">
        <v>304</v>
      </c>
      <c r="D11" s="575">
        <f t="shared" si="4"/>
        <v>-0.614702154626109</v>
      </c>
      <c r="E11" s="578">
        <v>554</v>
      </c>
      <c r="F11" s="575">
        <f t="shared" si="5"/>
        <v>-0.2978453738910013</v>
      </c>
      <c r="G11" s="178">
        <v>371</v>
      </c>
      <c r="H11" s="179">
        <f t="shared" si="6"/>
        <v>-0.52978453738910014</v>
      </c>
      <c r="I11" s="546">
        <v>499</v>
      </c>
      <c r="J11" s="179">
        <f t="shared" si="7"/>
        <v>-0.36755386565272496</v>
      </c>
      <c r="K11" s="546">
        <v>525</v>
      </c>
      <c r="L11" s="179">
        <f t="shared" si="8"/>
        <v>-0.33460076045627374</v>
      </c>
      <c r="M11" s="546">
        <v>547</v>
      </c>
      <c r="N11" s="179">
        <f t="shared" si="9"/>
        <v>-0.30671736375158432</v>
      </c>
      <c r="O11" s="555">
        <v>415</v>
      </c>
      <c r="P11" s="179">
        <f t="shared" si="10"/>
        <v>-0.47401774397972118</v>
      </c>
      <c r="Q11" s="555">
        <v>491</v>
      </c>
      <c r="R11" s="179">
        <f t="shared" si="11"/>
        <v>-0.37769328263624846</v>
      </c>
      <c r="S11" s="574">
        <v>557</v>
      </c>
      <c r="T11" s="599">
        <f t="shared" si="0"/>
        <v>0.70595690747782003</v>
      </c>
      <c r="U11" s="578">
        <v>576</v>
      </c>
      <c r="V11" s="599">
        <f t="shared" si="1"/>
        <v>0.73003802281368824</v>
      </c>
      <c r="W11" s="578">
        <v>630</v>
      </c>
      <c r="X11" s="599">
        <f t="shared" si="2"/>
        <v>0.79847908745247154</v>
      </c>
      <c r="Y11" s="578">
        <v>580</v>
      </c>
      <c r="Z11" s="599">
        <f t="shared" si="3"/>
        <v>0.73510773130544993</v>
      </c>
    </row>
    <row r="12" spans="1:26" ht="15.75" thickBot="1" x14ac:dyDescent="0.3">
      <c r="A12" s="68" t="s">
        <v>7</v>
      </c>
      <c r="B12" s="72">
        <f>SUM(B7:B11)</f>
        <v>5697</v>
      </c>
      <c r="C12" s="76">
        <f>SUM(C7:C11)</f>
        <v>3081</v>
      </c>
      <c r="D12" s="90">
        <f t="shared" si="4"/>
        <v>-0.45918904686677198</v>
      </c>
      <c r="E12" s="76">
        <f>SUM(E7:E11)</f>
        <v>3331</v>
      </c>
      <c r="F12" s="90">
        <f t="shared" si="5"/>
        <v>-0.4153063015622257</v>
      </c>
      <c r="G12" s="76">
        <f>SUM(G7:G11)</f>
        <v>3958</v>
      </c>
      <c r="H12" s="90">
        <f t="shared" si="6"/>
        <v>-0.30524837633842372</v>
      </c>
      <c r="I12" s="76">
        <f>SUM(I7:I11)</f>
        <v>3033</v>
      </c>
      <c r="J12" s="90">
        <f t="shared" si="7"/>
        <v>-0.46761453396524488</v>
      </c>
      <c r="K12" s="76">
        <f>SUM(K7:K11)</f>
        <v>3842</v>
      </c>
      <c r="L12" s="90">
        <f t="shared" si="8"/>
        <v>-0.32560997015973314</v>
      </c>
      <c r="M12" s="76">
        <f>SUM(M7:M11)</f>
        <v>4431</v>
      </c>
      <c r="N12" s="90">
        <f t="shared" si="9"/>
        <v>-0.22222222222222221</v>
      </c>
      <c r="O12" s="76">
        <f>SUM(O7:O11)</f>
        <v>3420</v>
      </c>
      <c r="P12" s="90">
        <f t="shared" si="10"/>
        <v>-0.39968404423380721</v>
      </c>
      <c r="Q12" s="76">
        <f>SUM(Q7:Q11)</f>
        <v>4708</v>
      </c>
      <c r="R12" s="90">
        <f t="shared" si="11"/>
        <v>-0.173600140424785</v>
      </c>
      <c r="S12" s="593">
        <f>SUM(S7:S11)</f>
        <v>4384</v>
      </c>
      <c r="T12" s="561">
        <f t="shared" si="0"/>
        <v>0.76952782166052314</v>
      </c>
      <c r="U12" s="573">
        <f>SUM(U7:U11)</f>
        <v>4185</v>
      </c>
      <c r="V12" s="561">
        <f t="shared" si="1"/>
        <v>0.7345971563981043</v>
      </c>
      <c r="W12" s="573">
        <f>SUM(W7:W11)</f>
        <v>4091</v>
      </c>
      <c r="X12" s="561">
        <f t="shared" si="2"/>
        <v>0.71809724416359488</v>
      </c>
      <c r="Y12" s="573">
        <f>SUM(Y7:Y11)</f>
        <v>3985</v>
      </c>
      <c r="Z12" s="561">
        <f t="shared" si="3"/>
        <v>0.69949096015446721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Z10"/>
  <sheetViews>
    <sheetView workbookViewId="0"/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7.140625" bestFit="1" customWidth="1"/>
    <col min="5" max="5" width="5.42578125" bestFit="1" customWidth="1"/>
    <col min="6" max="6" width="7.140625" bestFit="1" customWidth="1"/>
    <col min="7" max="7" width="4.7109375" bestFit="1" customWidth="1"/>
    <col min="8" max="8" width="8.140625" bestFit="1" customWidth="1"/>
    <col min="9" max="9" width="5.42578125" bestFit="1" customWidth="1"/>
    <col min="10" max="10" width="7.140625" bestFit="1" customWidth="1"/>
    <col min="11" max="11" width="5.42578125" bestFit="1" customWidth="1"/>
    <col min="12" max="12" width="7.140625" bestFit="1" customWidth="1"/>
    <col min="13" max="13" width="5.42578125" bestFit="1" customWidth="1"/>
    <col min="14" max="14" width="7.140625" bestFit="1" customWidth="1"/>
    <col min="15" max="15" width="5.42578125" bestFit="1" customWidth="1"/>
    <col min="16" max="16" width="7.140625" bestFit="1" customWidth="1"/>
    <col min="17" max="17" width="5.42578125" bestFit="1" customWidth="1"/>
    <col min="18" max="18" width="7.140625" bestFit="1" customWidth="1"/>
    <col min="19" max="19" width="5.42578125" bestFit="1" customWidth="1"/>
    <col min="20" max="20" width="7.5703125" bestFit="1" customWidth="1"/>
    <col min="21" max="21" width="4.42578125" bestFit="1" customWidth="1"/>
    <col min="22" max="22" width="6.5703125" bestFit="1" customWidth="1"/>
    <col min="23" max="23" width="5.42578125" bestFit="1" customWidth="1"/>
    <col min="24" max="24" width="6.5703125" bestFit="1" customWidth="1"/>
    <col min="25" max="25" width="4.140625" bestFit="1" customWidth="1"/>
    <col min="26" max="26" width="6.5703125" bestFit="1" customWidth="1"/>
  </cols>
  <sheetData>
    <row r="2" spans="1:26" ht="18" x14ac:dyDescent="0.35">
      <c r="A2" s="648" t="s">
        <v>363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</row>
    <row r="3" spans="1:26" ht="18" x14ac:dyDescent="0.35">
      <c r="A3" s="648" t="s">
        <v>331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367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154" t="s">
        <v>15</v>
      </c>
      <c r="B6" s="155" t="s">
        <v>16</v>
      </c>
      <c r="C6" s="579" t="s">
        <v>327</v>
      </c>
      <c r="D6" s="580" t="s">
        <v>1</v>
      </c>
      <c r="E6" s="579" t="s">
        <v>328</v>
      </c>
      <c r="F6" s="580" t="s">
        <v>1</v>
      </c>
      <c r="G6" s="534" t="s">
        <v>349</v>
      </c>
      <c r="H6" s="535" t="s">
        <v>1</v>
      </c>
      <c r="I6" s="534" t="s">
        <v>350</v>
      </c>
      <c r="J6" s="535" t="s">
        <v>1</v>
      </c>
      <c r="K6" s="534" t="s">
        <v>351</v>
      </c>
      <c r="L6" s="535" t="s">
        <v>1</v>
      </c>
      <c r="M6" s="534" t="s">
        <v>353</v>
      </c>
      <c r="N6" s="535" t="s">
        <v>1</v>
      </c>
      <c r="O6" s="534" t="s">
        <v>354</v>
      </c>
      <c r="P6" s="535" t="s">
        <v>1</v>
      </c>
      <c r="Q6" s="534" t="s">
        <v>2</v>
      </c>
      <c r="R6" s="535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5.75" thickTop="1" x14ac:dyDescent="0.25">
      <c r="A7" s="156" t="s">
        <v>11</v>
      </c>
      <c r="B7" s="157">
        <v>789</v>
      </c>
      <c r="C7" s="568">
        <v>499</v>
      </c>
      <c r="D7" s="576">
        <f>((C7/$B7))-1</f>
        <v>-0.36755386565272496</v>
      </c>
      <c r="E7" s="568">
        <v>627</v>
      </c>
      <c r="F7" s="576">
        <f>((E7/$B7))-1</f>
        <v>-0.20532319391634979</v>
      </c>
      <c r="G7" s="158">
        <v>0</v>
      </c>
      <c r="H7" s="159">
        <f>((G7/$B7))-1</f>
        <v>-1</v>
      </c>
      <c r="I7" s="545">
        <v>622</v>
      </c>
      <c r="J7" s="159">
        <f>((I7/$B7))-1</f>
        <v>-0.21166032953105196</v>
      </c>
      <c r="K7" s="545">
        <v>694</v>
      </c>
      <c r="L7" s="159">
        <f>((K7/$B7))-1</f>
        <v>-0.12040557667934093</v>
      </c>
      <c r="M7" s="545">
        <v>838</v>
      </c>
      <c r="N7" s="159">
        <f>((M7/$B7))-1</f>
        <v>6.2103929024081017E-2</v>
      </c>
      <c r="O7" s="554">
        <v>710</v>
      </c>
      <c r="P7" s="159">
        <f>((O7/$B7))-1</f>
        <v>-0.10012674271229405</v>
      </c>
      <c r="Q7" s="554">
        <v>479</v>
      </c>
      <c r="R7" s="159">
        <f>((Q7/$B7))-1</f>
        <v>-0.39290240811153354</v>
      </c>
      <c r="S7" s="568">
        <v>528</v>
      </c>
      <c r="T7" s="576">
        <f t="shared" ref="T7:T10" si="0">S7/$B7</f>
        <v>0.66920152091254748</v>
      </c>
      <c r="U7" s="568">
        <v>344</v>
      </c>
      <c r="V7" s="576">
        <f t="shared" ref="V7:V10" si="1">U7/$B7</f>
        <v>0.43599493029150826</v>
      </c>
      <c r="W7" s="568">
        <v>460</v>
      </c>
      <c r="X7" s="576">
        <f t="shared" ref="X7:X10" si="2">W7/$B7</f>
        <v>0.58301647655259825</v>
      </c>
      <c r="Y7" s="568">
        <v>487</v>
      </c>
      <c r="Z7" s="576">
        <f t="shared" ref="Z7:Z10" si="3">Y7/$B7</f>
        <v>0.61723700887198985</v>
      </c>
    </row>
    <row r="8" spans="1:26" x14ac:dyDescent="0.25">
      <c r="A8" s="160" t="s">
        <v>43</v>
      </c>
      <c r="B8" s="161">
        <v>789</v>
      </c>
      <c r="C8" s="570">
        <v>443</v>
      </c>
      <c r="D8" s="577">
        <f t="shared" ref="D8:D10" si="4">((C8/$B8))-1</f>
        <v>-0.43852978453738911</v>
      </c>
      <c r="E8" s="568">
        <v>381</v>
      </c>
      <c r="F8" s="577">
        <f t="shared" ref="F8:F10" si="5">((E8/$B8))-1</f>
        <v>-0.5171102661596958</v>
      </c>
      <c r="G8" s="162">
        <v>207</v>
      </c>
      <c r="H8" s="163">
        <f t="shared" ref="H8:H10" si="6">((G8/$B8))-1</f>
        <v>-0.73764258555133078</v>
      </c>
      <c r="I8" s="545">
        <v>287</v>
      </c>
      <c r="J8" s="163">
        <f t="shared" ref="J8:J10" si="7">((I8/$B8))-1</f>
        <v>-0.63624841571609636</v>
      </c>
      <c r="K8" s="545">
        <v>261</v>
      </c>
      <c r="L8" s="163">
        <f t="shared" ref="L8:L10" si="8">((K8/$B8))-1</f>
        <v>-0.66920152091254748</v>
      </c>
      <c r="M8" s="545">
        <v>244</v>
      </c>
      <c r="N8" s="163">
        <f t="shared" ref="N8:N10" si="9">((M8/$B8))-1</f>
        <v>-0.69074778200253484</v>
      </c>
      <c r="O8" s="554">
        <v>253</v>
      </c>
      <c r="P8" s="163">
        <f t="shared" ref="P8:P10" si="10">((O8/$B8))-1</f>
        <v>-0.67934093789607097</v>
      </c>
      <c r="Q8" s="554">
        <v>168</v>
      </c>
      <c r="R8" s="163">
        <f t="shared" ref="R8:R10" si="11">((Q8/$B8))-1</f>
        <v>-0.78707224334600756</v>
      </c>
      <c r="S8" s="570">
        <v>187</v>
      </c>
      <c r="T8" s="576">
        <f t="shared" si="0"/>
        <v>0.23700887198986059</v>
      </c>
      <c r="U8" s="568">
        <v>287</v>
      </c>
      <c r="V8" s="576">
        <f t="shared" si="1"/>
        <v>0.3637515842839037</v>
      </c>
      <c r="W8" s="568">
        <v>425</v>
      </c>
      <c r="X8" s="576">
        <f t="shared" si="2"/>
        <v>0.53865652724968316</v>
      </c>
      <c r="Y8" s="568">
        <v>225</v>
      </c>
      <c r="Z8" s="576">
        <f t="shared" si="3"/>
        <v>0.28517110266159695</v>
      </c>
    </row>
    <row r="9" spans="1:26" ht="15.75" thickBot="1" x14ac:dyDescent="0.3">
      <c r="A9" s="164" t="s">
        <v>14</v>
      </c>
      <c r="B9" s="165">
        <v>789</v>
      </c>
      <c r="C9" s="574">
        <v>143</v>
      </c>
      <c r="D9" s="575">
        <f t="shared" si="4"/>
        <v>-0.81875792141951842</v>
      </c>
      <c r="E9" s="578">
        <v>298</v>
      </c>
      <c r="F9" s="575">
        <f t="shared" si="5"/>
        <v>-0.62230671736375154</v>
      </c>
      <c r="G9" s="166">
        <v>423</v>
      </c>
      <c r="H9" s="167">
        <f t="shared" si="6"/>
        <v>-0.46387832699619769</v>
      </c>
      <c r="I9" s="546">
        <v>409</v>
      </c>
      <c r="J9" s="167">
        <f t="shared" si="7"/>
        <v>-0.48162230671736372</v>
      </c>
      <c r="K9" s="546">
        <v>480</v>
      </c>
      <c r="L9" s="167">
        <f t="shared" si="8"/>
        <v>-0.39163498098859317</v>
      </c>
      <c r="M9" s="546">
        <v>306</v>
      </c>
      <c r="N9" s="167">
        <f t="shared" si="9"/>
        <v>-0.61216730038022815</v>
      </c>
      <c r="O9" s="555">
        <v>359</v>
      </c>
      <c r="P9" s="167">
        <f t="shared" si="10"/>
        <v>-0.54499366286438522</v>
      </c>
      <c r="Q9" s="555">
        <v>464</v>
      </c>
      <c r="R9" s="167">
        <f t="shared" si="11"/>
        <v>-0.41191381495564006</v>
      </c>
      <c r="S9" s="578">
        <v>435</v>
      </c>
      <c r="T9" s="599">
        <f t="shared" si="0"/>
        <v>0.5513307984790875</v>
      </c>
      <c r="U9" s="578">
        <v>262</v>
      </c>
      <c r="V9" s="599">
        <f t="shared" si="1"/>
        <v>0.33206590621039289</v>
      </c>
      <c r="W9" s="578">
        <v>219</v>
      </c>
      <c r="X9" s="599">
        <f t="shared" si="2"/>
        <v>0.27756653992395436</v>
      </c>
      <c r="Y9" s="578">
        <v>206</v>
      </c>
      <c r="Z9" s="599">
        <f t="shared" si="3"/>
        <v>0.26108998732572875</v>
      </c>
    </row>
    <row r="10" spans="1:26" ht="15.75" thickBot="1" x14ac:dyDescent="0.3">
      <c r="A10" s="68" t="s">
        <v>7</v>
      </c>
      <c r="B10" s="72">
        <f>SUM(B7:B9)</f>
        <v>2367</v>
      </c>
      <c r="C10" s="76">
        <f>SUM(C7:C9)</f>
        <v>1085</v>
      </c>
      <c r="D10" s="90">
        <f t="shared" si="4"/>
        <v>-0.54161385720321076</v>
      </c>
      <c r="E10" s="76">
        <f>SUM(E7:E9)</f>
        <v>1306</v>
      </c>
      <c r="F10" s="90">
        <f t="shared" si="5"/>
        <v>-0.44824672581326575</v>
      </c>
      <c r="G10" s="76">
        <f>SUM(G7:G9)</f>
        <v>630</v>
      </c>
      <c r="H10" s="90">
        <f t="shared" si="6"/>
        <v>-0.73384030418250945</v>
      </c>
      <c r="I10" s="76">
        <f>SUM(I7:I9)</f>
        <v>1318</v>
      </c>
      <c r="J10" s="90">
        <f t="shared" si="7"/>
        <v>-0.44317701732150405</v>
      </c>
      <c r="K10" s="76">
        <f>SUM(K7:K9)</f>
        <v>1435</v>
      </c>
      <c r="L10" s="90">
        <f t="shared" si="8"/>
        <v>-0.39374735952682716</v>
      </c>
      <c r="M10" s="76">
        <f>SUM(M7:M9)</f>
        <v>1388</v>
      </c>
      <c r="N10" s="90">
        <f t="shared" si="9"/>
        <v>-0.41360371778622729</v>
      </c>
      <c r="O10" s="76">
        <f>SUM(O7:O9)</f>
        <v>1322</v>
      </c>
      <c r="P10" s="90">
        <f t="shared" si="10"/>
        <v>-0.44148711449091682</v>
      </c>
      <c r="Q10" s="76">
        <f>SUM(Q7:Q9)</f>
        <v>1111</v>
      </c>
      <c r="R10" s="90">
        <f t="shared" si="11"/>
        <v>-0.53062948880439376</v>
      </c>
      <c r="S10" s="573">
        <f>SUM(S7:S9)</f>
        <v>1150</v>
      </c>
      <c r="T10" s="561">
        <f t="shared" si="0"/>
        <v>0.48584706379383186</v>
      </c>
      <c r="U10" s="573">
        <f>SUM(U7:U9)</f>
        <v>893</v>
      </c>
      <c r="V10" s="561">
        <f t="shared" si="1"/>
        <v>0.3772708069286016</v>
      </c>
      <c r="W10" s="573">
        <f>SUM(W7:W9)</f>
        <v>1104</v>
      </c>
      <c r="X10" s="561">
        <f t="shared" si="2"/>
        <v>0.46641318124207859</v>
      </c>
      <c r="Y10" s="573">
        <f>SUM(Y7:Y9)</f>
        <v>918</v>
      </c>
      <c r="Z10" s="561">
        <f t="shared" si="3"/>
        <v>0.38783269961977185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Z20"/>
  <sheetViews>
    <sheetView tabSelected="1" workbookViewId="0"/>
  </sheetViews>
  <sheetFormatPr defaultColWidth="8.85546875" defaultRowHeight="15" x14ac:dyDescent="0.25"/>
  <cols>
    <col min="1" max="1" width="39.42578125" bestFit="1" customWidth="1"/>
    <col min="3" max="3" width="6.42578125" bestFit="1" customWidth="1"/>
    <col min="4" max="4" width="7.140625" bestFit="1" customWidth="1"/>
    <col min="5" max="5" width="6.42578125" bestFit="1" customWidth="1"/>
    <col min="6" max="6" width="8.140625" bestFit="1" customWidth="1"/>
    <col min="7" max="7" width="6.42578125" bestFit="1" customWidth="1"/>
    <col min="8" max="8" width="7.140625" bestFit="1" customWidth="1"/>
    <col min="9" max="9" width="6.42578125" bestFit="1" customWidth="1"/>
    <col min="10" max="10" width="8.140625" bestFit="1" customWidth="1"/>
    <col min="11" max="11" width="6.42578125" bestFit="1" customWidth="1"/>
    <col min="12" max="12" width="8.140625" bestFit="1" customWidth="1"/>
    <col min="13" max="13" width="6.42578125" bestFit="1" customWidth="1"/>
    <col min="14" max="14" width="8.140625" bestFit="1" customWidth="1"/>
    <col min="15" max="15" width="6.42578125" bestFit="1" customWidth="1"/>
    <col min="16" max="16" width="8.140625" bestFit="1" customWidth="1"/>
    <col min="17" max="17" width="6.42578125" bestFit="1" customWidth="1"/>
    <col min="18" max="18" width="8.140625" bestFit="1" customWidth="1"/>
    <col min="19" max="19" width="6.42578125" bestFit="1" customWidth="1"/>
    <col min="20" max="20" width="7.5703125" bestFit="1" customWidth="1"/>
    <col min="21" max="21" width="6.42578125" bestFit="1" customWidth="1"/>
    <col min="22" max="22" width="7.5703125" bestFit="1" customWidth="1"/>
    <col min="23" max="23" width="6.42578125" bestFit="1" customWidth="1"/>
    <col min="24" max="24" width="7.5703125" bestFit="1" customWidth="1"/>
    <col min="25" max="25" width="6.42578125" bestFit="1" customWidth="1"/>
    <col min="26" max="26" width="7.5703125" bestFit="1" customWidth="1"/>
  </cols>
  <sheetData>
    <row r="2" spans="1:26" ht="18" x14ac:dyDescent="0.35">
      <c r="A2" s="648" t="s">
        <v>363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</row>
    <row r="3" spans="1:26" ht="18" x14ac:dyDescent="0.35">
      <c r="A3" s="648" t="s">
        <v>331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customHeight="1" x14ac:dyDescent="0.25">
      <c r="A5" s="646" t="s">
        <v>329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7"/>
      <c r="S5" s="647"/>
      <c r="T5" s="647"/>
      <c r="U5" s="647"/>
      <c r="V5" s="647"/>
      <c r="W5" s="647"/>
      <c r="X5" s="647"/>
      <c r="Y5" s="647"/>
      <c r="Z5" s="647"/>
    </row>
    <row r="6" spans="1:26" ht="24.75" thickBot="1" x14ac:dyDescent="0.3">
      <c r="A6" s="293" t="s">
        <v>15</v>
      </c>
      <c r="B6" s="294" t="s">
        <v>16</v>
      </c>
      <c r="C6" s="295" t="s">
        <v>327</v>
      </c>
      <c r="D6" s="296" t="s">
        <v>1</v>
      </c>
      <c r="E6" s="295" t="s">
        <v>328</v>
      </c>
      <c r="F6" s="296" t="s">
        <v>1</v>
      </c>
      <c r="G6" s="295" t="s">
        <v>349</v>
      </c>
      <c r="H6" s="296" t="s">
        <v>1</v>
      </c>
      <c r="I6" s="295" t="s">
        <v>350</v>
      </c>
      <c r="J6" s="296" t="s">
        <v>1</v>
      </c>
      <c r="K6" s="295" t="s">
        <v>351</v>
      </c>
      <c r="L6" s="296" t="s">
        <v>1</v>
      </c>
      <c r="M6" s="295" t="s">
        <v>353</v>
      </c>
      <c r="N6" s="296" t="s">
        <v>1</v>
      </c>
      <c r="O6" s="295" t="s">
        <v>354</v>
      </c>
      <c r="P6" s="296" t="s">
        <v>1</v>
      </c>
      <c r="Q6" s="295" t="s">
        <v>2</v>
      </c>
      <c r="R6" s="296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5.75" thickTop="1" x14ac:dyDescent="0.25">
      <c r="A7" s="78" t="s">
        <v>27</v>
      </c>
      <c r="B7" s="23">
        <v>6000</v>
      </c>
      <c r="C7" s="418">
        <v>6098</v>
      </c>
      <c r="D7" s="562">
        <f>((C7/$B7))-1</f>
        <v>1.6333333333333311E-2</v>
      </c>
      <c r="E7" s="418">
        <v>5916</v>
      </c>
      <c r="F7" s="563">
        <f>((E7/$B7))-1</f>
        <v>-1.4000000000000012E-2</v>
      </c>
      <c r="G7" s="2">
        <v>6269</v>
      </c>
      <c r="H7" s="24">
        <f>((G7/$B7))-1</f>
        <v>4.4833333333333281E-2</v>
      </c>
      <c r="I7" s="418">
        <v>6249</v>
      </c>
      <c r="J7" s="24">
        <f>((I7/$B7))-1</f>
        <v>4.1500000000000092E-2</v>
      </c>
      <c r="K7" s="418">
        <v>5821</v>
      </c>
      <c r="L7" s="27">
        <f>((K7/$B7))-1</f>
        <v>-2.9833333333333378E-2</v>
      </c>
      <c r="M7" s="418">
        <v>6071</v>
      </c>
      <c r="N7" s="24">
        <f>((M7/$B7))-1</f>
        <v>1.1833333333333362E-2</v>
      </c>
      <c r="O7" s="418">
        <v>6138</v>
      </c>
      <c r="P7" s="24">
        <f>((O7/$B7))-1</f>
        <v>2.2999999999999909E-2</v>
      </c>
      <c r="Q7" s="418">
        <v>5864</v>
      </c>
      <c r="R7" s="27">
        <f>((Q7/$B7))-1</f>
        <v>-2.2666666666666613E-2</v>
      </c>
      <c r="S7" s="418">
        <v>6343</v>
      </c>
      <c r="T7" s="562">
        <f>S7/$B7</f>
        <v>1.0571666666666666</v>
      </c>
      <c r="U7" s="418">
        <v>6238</v>
      </c>
      <c r="V7" s="562">
        <f t="shared" ref="V7:V16" si="0">U7/$B7</f>
        <v>1.0396666666666667</v>
      </c>
      <c r="W7" s="418">
        <v>5771</v>
      </c>
      <c r="X7" s="563">
        <f t="shared" ref="X7:X16" si="1">W7/$B7</f>
        <v>0.96183333333333332</v>
      </c>
      <c r="Y7" s="418">
        <v>5928</v>
      </c>
      <c r="Z7" s="562">
        <f t="shared" ref="Z7:Z16" si="2">Y7/$B7</f>
        <v>0.98799999999999999</v>
      </c>
    </row>
    <row r="8" spans="1:26" x14ac:dyDescent="0.25">
      <c r="A8" s="282" t="s">
        <v>28</v>
      </c>
      <c r="B8" s="283">
        <v>2080</v>
      </c>
      <c r="C8" s="554">
        <v>1880</v>
      </c>
      <c r="D8" s="562">
        <f t="shared" ref="D8:D16" si="3">((C8/$B8))-1</f>
        <v>-9.6153846153846145E-2</v>
      </c>
      <c r="E8" s="554">
        <v>1826</v>
      </c>
      <c r="F8" s="563">
        <f t="shared" ref="F8:F15" si="4">((E8/$B8))-1</f>
        <v>-0.12211538461538463</v>
      </c>
      <c r="G8" s="284">
        <v>2045</v>
      </c>
      <c r="H8" s="24">
        <f t="shared" ref="H8:H15" si="5">((G8/$B8))-1</f>
        <v>-1.6826923076923128E-2</v>
      </c>
      <c r="I8" s="545">
        <v>2036</v>
      </c>
      <c r="J8" s="24">
        <f t="shared" ref="J8" si="6">((I8/$B8))-1</f>
        <v>-2.115384615384619E-2</v>
      </c>
      <c r="K8" s="545">
        <v>2235</v>
      </c>
      <c r="L8" s="27">
        <f t="shared" ref="L8:L15" si="7">((K8/$B8))-1</f>
        <v>7.4519230769230838E-2</v>
      </c>
      <c r="M8" s="545">
        <v>2393</v>
      </c>
      <c r="N8" s="24">
        <f t="shared" ref="N8:N15" si="8">((M8/$B8))-1</f>
        <v>0.15048076923076925</v>
      </c>
      <c r="O8" s="545">
        <v>2204</v>
      </c>
      <c r="P8" s="24">
        <f t="shared" ref="P8:P16" si="9">((O8/$B8))-1</f>
        <v>5.9615384615384626E-2</v>
      </c>
      <c r="Q8" s="545">
        <v>2449</v>
      </c>
      <c r="R8" s="27">
        <f t="shared" ref="R8:R15" si="10">((Q8/$B8))-1</f>
        <v>0.17740384615384608</v>
      </c>
      <c r="S8" s="568">
        <v>2045</v>
      </c>
      <c r="T8" s="571">
        <f t="shared" ref="T8:T15" si="11">S8/$B8</f>
        <v>0.98317307692307687</v>
      </c>
      <c r="U8" s="568">
        <v>2032</v>
      </c>
      <c r="V8" s="571">
        <f t="shared" si="0"/>
        <v>0.97692307692307689</v>
      </c>
      <c r="W8" s="568">
        <v>1816</v>
      </c>
      <c r="X8" s="571">
        <f t="shared" si="1"/>
        <v>0.87307692307692308</v>
      </c>
      <c r="Y8" s="568">
        <v>1895</v>
      </c>
      <c r="Z8" s="571">
        <f t="shared" si="2"/>
        <v>0.91105769230769229</v>
      </c>
    </row>
    <row r="9" spans="1:26" x14ac:dyDescent="0.25">
      <c r="A9" s="282" t="s">
        <v>29</v>
      </c>
      <c r="B9" s="283">
        <v>780</v>
      </c>
      <c r="C9" s="554">
        <v>733</v>
      </c>
      <c r="D9" s="562">
        <f t="shared" si="3"/>
        <v>-6.0256410256410264E-2</v>
      </c>
      <c r="E9" s="554">
        <v>885</v>
      </c>
      <c r="F9" s="563">
        <f t="shared" si="4"/>
        <v>0.13461538461538458</v>
      </c>
      <c r="G9" s="284">
        <v>852</v>
      </c>
      <c r="H9" s="24">
        <f t="shared" si="5"/>
        <v>9.2307692307692202E-2</v>
      </c>
      <c r="I9" s="545">
        <v>935</v>
      </c>
      <c r="J9" s="24">
        <f t="shared" ref="J9" si="12">((I9/$B9))-1</f>
        <v>0.19871794871794868</v>
      </c>
      <c r="K9" s="545">
        <v>794</v>
      </c>
      <c r="L9" s="27">
        <f t="shared" si="7"/>
        <v>1.7948717948717885E-2</v>
      </c>
      <c r="M9" s="545">
        <v>716</v>
      </c>
      <c r="N9" s="24">
        <f t="shared" si="8"/>
        <v>-8.2051282051282093E-2</v>
      </c>
      <c r="O9" s="545">
        <v>621</v>
      </c>
      <c r="P9" s="24">
        <f t="shared" si="9"/>
        <v>-0.2038461538461539</v>
      </c>
      <c r="Q9" s="545">
        <f>945-150</f>
        <v>795</v>
      </c>
      <c r="R9" s="27">
        <f t="shared" si="10"/>
        <v>1.9230769230769162E-2</v>
      </c>
      <c r="S9" s="568">
        <v>932</v>
      </c>
      <c r="T9" s="571">
        <f t="shared" si="11"/>
        <v>1.1948717948717948</v>
      </c>
      <c r="U9" s="568">
        <v>724</v>
      </c>
      <c r="V9" s="571">
        <f t="shared" si="0"/>
        <v>0.92820512820512824</v>
      </c>
      <c r="W9" s="568">
        <v>665</v>
      </c>
      <c r="X9" s="571">
        <f t="shared" si="1"/>
        <v>0.85256410256410253</v>
      </c>
      <c r="Y9" s="568">
        <v>751</v>
      </c>
      <c r="Z9" s="571">
        <f t="shared" si="2"/>
        <v>0.96282051282051284</v>
      </c>
    </row>
    <row r="10" spans="1:26" x14ac:dyDescent="0.25">
      <c r="A10" s="282" t="s">
        <v>9</v>
      </c>
      <c r="B10" s="283">
        <v>999</v>
      </c>
      <c r="C10" s="554">
        <v>260</v>
      </c>
      <c r="D10" s="562">
        <f t="shared" si="3"/>
        <v>-0.73973973973973972</v>
      </c>
      <c r="E10" s="554">
        <v>485</v>
      </c>
      <c r="F10" s="563">
        <f t="shared" si="4"/>
        <v>-0.51451451451451446</v>
      </c>
      <c r="G10" s="284">
        <v>943</v>
      </c>
      <c r="H10" s="24">
        <f t="shared" si="5"/>
        <v>-5.6056056056056014E-2</v>
      </c>
      <c r="I10" s="545">
        <v>728</v>
      </c>
      <c r="J10" s="24">
        <f t="shared" ref="J10" si="13">((I10/$B10))-1</f>
        <v>-0.27127127127127126</v>
      </c>
      <c r="K10" s="545">
        <v>812</v>
      </c>
      <c r="L10" s="27">
        <f t="shared" si="7"/>
        <v>-0.18718718718718719</v>
      </c>
      <c r="M10" s="545">
        <v>1144</v>
      </c>
      <c r="N10" s="24">
        <f t="shared" si="8"/>
        <v>0.14514514514514509</v>
      </c>
      <c r="O10" s="545">
        <v>1200</v>
      </c>
      <c r="P10" s="24">
        <f t="shared" si="9"/>
        <v>0.20120120120120122</v>
      </c>
      <c r="Q10" s="545">
        <v>1073</v>
      </c>
      <c r="R10" s="27">
        <f t="shared" si="10"/>
        <v>7.4074074074074181E-2</v>
      </c>
      <c r="S10" s="568">
        <v>764</v>
      </c>
      <c r="T10" s="571">
        <f t="shared" si="11"/>
        <v>0.76476476476476474</v>
      </c>
      <c r="U10" s="568">
        <v>836</v>
      </c>
      <c r="V10" s="571">
        <f t="shared" si="0"/>
        <v>0.83683683683683685</v>
      </c>
      <c r="W10" s="568">
        <v>812</v>
      </c>
      <c r="X10" s="571">
        <f t="shared" si="1"/>
        <v>0.81281281281281281</v>
      </c>
      <c r="Y10" s="568">
        <v>827</v>
      </c>
      <c r="Z10" s="571">
        <f t="shared" si="2"/>
        <v>0.82782782782782782</v>
      </c>
    </row>
    <row r="11" spans="1:26" x14ac:dyDescent="0.25">
      <c r="A11" s="282" t="s">
        <v>10</v>
      </c>
      <c r="B11" s="283">
        <v>3996</v>
      </c>
      <c r="C11" s="554">
        <v>572</v>
      </c>
      <c r="D11" s="562">
        <f t="shared" si="3"/>
        <v>-0.85685685685685686</v>
      </c>
      <c r="E11" s="554">
        <v>1466</v>
      </c>
      <c r="F11" s="563">
        <f t="shared" si="4"/>
        <v>-0.63313313313313313</v>
      </c>
      <c r="G11" s="284">
        <v>3607</v>
      </c>
      <c r="H11" s="24">
        <f t="shared" si="5"/>
        <v>-9.7347347347347402E-2</v>
      </c>
      <c r="I11" s="545">
        <v>2376</v>
      </c>
      <c r="J11" s="24">
        <f t="shared" ref="J11" si="14">((I11/$B11))-1</f>
        <v>-0.40540540540540537</v>
      </c>
      <c r="K11" s="545">
        <v>3164</v>
      </c>
      <c r="L11" s="27">
        <f t="shared" si="7"/>
        <v>-0.20820820820820818</v>
      </c>
      <c r="M11" s="545">
        <v>3520</v>
      </c>
      <c r="N11" s="24">
        <f t="shared" si="8"/>
        <v>-0.1191191191191191</v>
      </c>
      <c r="O11" s="545">
        <v>3876</v>
      </c>
      <c r="P11" s="24">
        <f t="shared" si="9"/>
        <v>-3.0030030030030019E-2</v>
      </c>
      <c r="Q11" s="545">
        <v>3566</v>
      </c>
      <c r="R11" s="27">
        <f t="shared" si="10"/>
        <v>-0.10760760760760757</v>
      </c>
      <c r="S11" s="568">
        <v>2580</v>
      </c>
      <c r="T11" s="571">
        <f t="shared" si="11"/>
        <v>0.64564564564564564</v>
      </c>
      <c r="U11" s="568">
        <v>2830</v>
      </c>
      <c r="V11" s="571">
        <f t="shared" si="0"/>
        <v>0.70820820820820818</v>
      </c>
      <c r="W11" s="568">
        <v>3040</v>
      </c>
      <c r="X11" s="571">
        <f t="shared" si="1"/>
        <v>0.76076076076076071</v>
      </c>
      <c r="Y11" s="568">
        <v>3213</v>
      </c>
      <c r="Z11" s="571">
        <f t="shared" si="2"/>
        <v>0.80405405405405406</v>
      </c>
    </row>
    <row r="12" spans="1:26" x14ac:dyDescent="0.25">
      <c r="A12" s="282" t="s">
        <v>11</v>
      </c>
      <c r="B12" s="283">
        <v>526</v>
      </c>
      <c r="C12" s="554">
        <v>458</v>
      </c>
      <c r="D12" s="562">
        <f t="shared" si="3"/>
        <v>-0.12927756653992395</v>
      </c>
      <c r="E12" s="554">
        <v>428</v>
      </c>
      <c r="F12" s="563">
        <f t="shared" si="4"/>
        <v>-0.18631178707224338</v>
      </c>
      <c r="G12" s="284">
        <v>304</v>
      </c>
      <c r="H12" s="24">
        <f t="shared" si="5"/>
        <v>-0.42205323193916355</v>
      </c>
      <c r="I12" s="545">
        <v>276</v>
      </c>
      <c r="J12" s="24">
        <f t="shared" ref="J12" si="15">((I12/$B12))-1</f>
        <v>-0.47528517110266155</v>
      </c>
      <c r="K12" s="545">
        <v>280</v>
      </c>
      <c r="L12" s="27">
        <f t="shared" si="7"/>
        <v>-0.46768060836501901</v>
      </c>
      <c r="M12" s="545">
        <v>358</v>
      </c>
      <c r="N12" s="24">
        <f t="shared" si="8"/>
        <v>-0.31939163498098855</v>
      </c>
      <c r="O12" s="545">
        <v>340</v>
      </c>
      <c r="P12" s="24">
        <f t="shared" si="9"/>
        <v>-0.35361216730038025</v>
      </c>
      <c r="Q12" s="545">
        <v>410</v>
      </c>
      <c r="R12" s="27">
        <f t="shared" si="10"/>
        <v>-0.22053231939163498</v>
      </c>
      <c r="S12" s="568">
        <v>423</v>
      </c>
      <c r="T12" s="571">
        <f t="shared" si="11"/>
        <v>0.80418250950570347</v>
      </c>
      <c r="U12" s="568">
        <v>0</v>
      </c>
      <c r="V12" s="571">
        <f t="shared" si="0"/>
        <v>0</v>
      </c>
      <c r="W12" s="568">
        <v>325</v>
      </c>
      <c r="X12" s="571">
        <f t="shared" si="1"/>
        <v>0.61787072243346008</v>
      </c>
      <c r="Y12" s="568">
        <v>424</v>
      </c>
      <c r="Z12" s="571">
        <f t="shared" si="2"/>
        <v>0.80608365019011408</v>
      </c>
    </row>
    <row r="13" spans="1:26" x14ac:dyDescent="0.25">
      <c r="A13" s="282" t="s">
        <v>43</v>
      </c>
      <c r="B13" s="283">
        <v>526</v>
      </c>
      <c r="C13" s="554">
        <v>275</v>
      </c>
      <c r="D13" s="562">
        <f t="shared" si="3"/>
        <v>-0.47718631178707227</v>
      </c>
      <c r="E13" s="554">
        <v>289</v>
      </c>
      <c r="F13" s="563">
        <f t="shared" si="4"/>
        <v>-0.45057034220532322</v>
      </c>
      <c r="G13" s="284">
        <v>352</v>
      </c>
      <c r="H13" s="24">
        <f t="shared" si="5"/>
        <v>-0.33079847908745252</v>
      </c>
      <c r="I13" s="545">
        <v>285</v>
      </c>
      <c r="J13" s="24">
        <f t="shared" ref="J13" si="16">((I13/$B13))-1</f>
        <v>-0.45817490494296575</v>
      </c>
      <c r="K13" s="545">
        <v>437</v>
      </c>
      <c r="L13" s="27">
        <f t="shared" si="7"/>
        <v>-0.16920152091254748</v>
      </c>
      <c r="M13" s="545">
        <v>421</v>
      </c>
      <c r="N13" s="24">
        <f t="shared" si="8"/>
        <v>-0.19961977186311786</v>
      </c>
      <c r="O13" s="545">
        <v>338</v>
      </c>
      <c r="P13" s="24">
        <f t="shared" si="9"/>
        <v>-0.35741444866920147</v>
      </c>
      <c r="Q13" s="545">
        <v>424</v>
      </c>
      <c r="R13" s="27">
        <f t="shared" si="10"/>
        <v>-0.19391634980988592</v>
      </c>
      <c r="S13" s="568">
        <v>394</v>
      </c>
      <c r="T13" s="571">
        <f t="shared" si="11"/>
        <v>0.74904942965779464</v>
      </c>
      <c r="U13" s="568">
        <v>255</v>
      </c>
      <c r="V13" s="571">
        <f t="shared" si="0"/>
        <v>0.48479087452471481</v>
      </c>
      <c r="W13" s="568">
        <v>350</v>
      </c>
      <c r="X13" s="571">
        <f t="shared" si="1"/>
        <v>0.66539923954372626</v>
      </c>
      <c r="Y13" s="568">
        <v>348</v>
      </c>
      <c r="Z13" s="571">
        <f t="shared" si="2"/>
        <v>0.66159695817490494</v>
      </c>
    </row>
    <row r="14" spans="1:26" x14ac:dyDescent="0.25">
      <c r="A14" s="285" t="s">
        <v>13</v>
      </c>
      <c r="B14" s="286">
        <v>250</v>
      </c>
      <c r="C14" s="94">
        <v>269</v>
      </c>
      <c r="D14" s="39">
        <f t="shared" si="3"/>
        <v>7.6000000000000068E-2</v>
      </c>
      <c r="E14" s="554">
        <v>264</v>
      </c>
      <c r="F14" s="40">
        <f t="shared" si="4"/>
        <v>5.600000000000005E-2</v>
      </c>
      <c r="G14" s="287">
        <v>265</v>
      </c>
      <c r="H14" s="39">
        <f t="shared" si="5"/>
        <v>6.0000000000000053E-2</v>
      </c>
      <c r="I14" s="545">
        <v>283</v>
      </c>
      <c r="J14" s="39">
        <f t="shared" ref="J14" si="17">((I14/$B14))-1</f>
        <v>0.1319999999999999</v>
      </c>
      <c r="K14" s="545">
        <v>319</v>
      </c>
      <c r="L14" s="40">
        <f t="shared" si="7"/>
        <v>0.27600000000000002</v>
      </c>
      <c r="M14" s="545">
        <v>395</v>
      </c>
      <c r="N14" s="39">
        <f t="shared" si="8"/>
        <v>0.58000000000000007</v>
      </c>
      <c r="O14" s="545">
        <v>288</v>
      </c>
      <c r="P14" s="39">
        <f t="shared" si="9"/>
        <v>0.15199999999999991</v>
      </c>
      <c r="Q14" s="545">
        <v>194</v>
      </c>
      <c r="R14" s="40">
        <f t="shared" si="10"/>
        <v>-0.22399999999999998</v>
      </c>
      <c r="S14" s="570">
        <v>284</v>
      </c>
      <c r="T14" s="571">
        <f t="shared" si="11"/>
        <v>1.1359999999999999</v>
      </c>
      <c r="U14" s="568">
        <v>270</v>
      </c>
      <c r="V14" s="571">
        <f t="shared" si="0"/>
        <v>1.08</v>
      </c>
      <c r="W14" s="568">
        <v>262</v>
      </c>
      <c r="X14" s="571">
        <f t="shared" si="1"/>
        <v>1.048</v>
      </c>
      <c r="Y14" s="568">
        <v>294</v>
      </c>
      <c r="Z14" s="571">
        <f t="shared" si="2"/>
        <v>1.1759999999999999</v>
      </c>
    </row>
    <row r="15" spans="1:26" ht="15.75" thickBot="1" x14ac:dyDescent="0.3">
      <c r="A15" s="288" t="s">
        <v>14</v>
      </c>
      <c r="B15" s="289">
        <v>526</v>
      </c>
      <c r="C15" s="267">
        <v>336</v>
      </c>
      <c r="D15" s="564">
        <f t="shared" si="3"/>
        <v>-0.36121673003802279</v>
      </c>
      <c r="E15" s="94">
        <v>306</v>
      </c>
      <c r="F15" s="565">
        <f t="shared" si="4"/>
        <v>-0.41825095057034223</v>
      </c>
      <c r="G15" s="290">
        <v>478</v>
      </c>
      <c r="H15" s="291">
        <f t="shared" si="5"/>
        <v>-9.125475285171103E-2</v>
      </c>
      <c r="I15" s="94">
        <v>473</v>
      </c>
      <c r="J15" s="291">
        <f t="shared" ref="J15" si="18">((I15/$B15))-1</f>
        <v>-0.10076045627376429</v>
      </c>
      <c r="K15" s="94">
        <v>424</v>
      </c>
      <c r="L15" s="297">
        <f t="shared" si="7"/>
        <v>-0.19391634980988592</v>
      </c>
      <c r="M15" s="94">
        <v>432</v>
      </c>
      <c r="N15" s="291">
        <f t="shared" si="8"/>
        <v>-0.17870722433460073</v>
      </c>
      <c r="O15" s="94">
        <v>495</v>
      </c>
      <c r="P15" s="291">
        <f t="shared" si="9"/>
        <v>-5.8935361216730042E-2</v>
      </c>
      <c r="Q15" s="94">
        <v>459</v>
      </c>
      <c r="R15" s="297">
        <f t="shared" si="10"/>
        <v>-0.12737642585551334</v>
      </c>
      <c r="S15" s="574">
        <v>570</v>
      </c>
      <c r="T15" s="572">
        <f t="shared" si="11"/>
        <v>1.0836501901140685</v>
      </c>
      <c r="U15" s="570">
        <v>411</v>
      </c>
      <c r="V15" s="572">
        <f t="shared" si="0"/>
        <v>0.78136882129277563</v>
      </c>
      <c r="W15" s="570">
        <v>490</v>
      </c>
      <c r="X15" s="572">
        <f t="shared" si="1"/>
        <v>0.9315589353612167</v>
      </c>
      <c r="Y15" s="570">
        <v>594</v>
      </c>
      <c r="Z15" s="572">
        <f t="shared" si="2"/>
        <v>1.1292775665399239</v>
      </c>
    </row>
    <row r="16" spans="1:26" ht="15.75" thickBot="1" x14ac:dyDescent="0.3">
      <c r="A16" s="68" t="s">
        <v>7</v>
      </c>
      <c r="B16" s="72">
        <f>SUM(B7:B15)</f>
        <v>15683</v>
      </c>
      <c r="C16" s="76">
        <f>SUM(C7:C15)</f>
        <v>10881</v>
      </c>
      <c r="D16" s="90">
        <f t="shared" si="3"/>
        <v>-0.3061914174583944</v>
      </c>
      <c r="E16" s="76">
        <f>SUM(E7:E15)</f>
        <v>11865</v>
      </c>
      <c r="F16" s="298">
        <f>((E16/$B16))-1</f>
        <v>-0.24344831983676596</v>
      </c>
      <c r="G16" s="76">
        <f>SUM(G7:G15)</f>
        <v>15115</v>
      </c>
      <c r="H16" s="90">
        <f>((G16/$B16))-1</f>
        <v>-3.621756041573676E-2</v>
      </c>
      <c r="I16" s="76">
        <f>SUM(I7:I15)</f>
        <v>13641</v>
      </c>
      <c r="J16" s="90">
        <f t="shared" ref="J16" si="19">((I16/$B16))-1</f>
        <v>-0.13020468022699738</v>
      </c>
      <c r="K16" s="76">
        <f>SUM(K7:K15)</f>
        <v>14286</v>
      </c>
      <c r="L16" s="298">
        <f>((K16/$B16))-1</f>
        <v>-8.9077344895747035E-2</v>
      </c>
      <c r="M16" s="76">
        <f>SUM(M7:M15)</f>
        <v>15450</v>
      </c>
      <c r="N16" s="90">
        <f>((M16/$B16))-1</f>
        <v>-1.4856851367722967E-2</v>
      </c>
      <c r="O16" s="76">
        <f>SUM(O7:O15)</f>
        <v>15500</v>
      </c>
      <c r="P16" s="90">
        <f t="shared" si="9"/>
        <v>-1.1668685838168713E-2</v>
      </c>
      <c r="Q16" s="76">
        <f>SUM(Q7:Q15)</f>
        <v>15234</v>
      </c>
      <c r="R16" s="298">
        <f>((Q16/$B16))-1</f>
        <v>-2.8629726455397519E-2</v>
      </c>
      <c r="S16" s="591">
        <f>SUM(S7:S15)</f>
        <v>14335</v>
      </c>
      <c r="T16" s="592">
        <f>S16/$B16</f>
        <v>0.91404705732321623</v>
      </c>
      <c r="U16" s="591">
        <f>SUM(U7:U15)</f>
        <v>13596</v>
      </c>
      <c r="V16" s="592">
        <f t="shared" si="0"/>
        <v>0.86692597079640377</v>
      </c>
      <c r="W16" s="591">
        <f>SUM(W7:W15)</f>
        <v>13531</v>
      </c>
      <c r="X16" s="592">
        <f t="shared" si="1"/>
        <v>0.86278135560798319</v>
      </c>
      <c r="Y16" s="591">
        <f>SUM(Y7:Y15)</f>
        <v>14274</v>
      </c>
      <c r="Z16" s="592">
        <f t="shared" si="2"/>
        <v>0.91015749537715995</v>
      </c>
    </row>
    <row r="19" spans="13:23" x14ac:dyDescent="0.25">
      <c r="M19" s="12"/>
      <c r="N19" s="12"/>
      <c r="W19" s="595"/>
    </row>
    <row r="20" spans="13:23" x14ac:dyDescent="0.25">
      <c r="M20" s="12"/>
      <c r="N20" s="12"/>
      <c r="U20" s="596"/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&amp;LFonte: Sistema WEBSAASS&amp;RPag.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Z8"/>
  <sheetViews>
    <sheetView workbookViewId="0"/>
  </sheetViews>
  <sheetFormatPr defaultColWidth="8.85546875" defaultRowHeight="15" x14ac:dyDescent="0.25"/>
  <cols>
    <col min="1" max="1" width="39.42578125" bestFit="1" customWidth="1"/>
    <col min="3" max="3" width="4.28515625" bestFit="1" customWidth="1"/>
    <col min="4" max="4" width="7.5703125" bestFit="1" customWidth="1"/>
    <col min="5" max="5" width="4" bestFit="1" customWidth="1"/>
    <col min="6" max="6" width="7.5703125" bestFit="1" customWidth="1"/>
    <col min="7" max="7" width="4.7109375" bestFit="1" customWidth="1"/>
    <col min="8" max="8" width="7.5703125" customWidth="1"/>
    <col min="9" max="9" width="4.42578125" bestFit="1" customWidth="1"/>
    <col min="10" max="10" width="7.5703125" customWidth="1"/>
    <col min="11" max="11" width="4" bestFit="1" customWidth="1"/>
    <col min="12" max="12" width="7.5703125" customWidth="1"/>
    <col min="13" max="13" width="4.28515625" bestFit="1" customWidth="1"/>
    <col min="14" max="14" width="8.140625" bestFit="1" customWidth="1"/>
    <col min="15" max="15" width="4.140625" bestFit="1" customWidth="1"/>
    <col min="16" max="16" width="8.140625" bestFit="1" customWidth="1"/>
    <col min="17" max="17" width="4.5703125" bestFit="1" customWidth="1"/>
    <col min="18" max="18" width="7.5703125" customWidth="1"/>
    <col min="19" max="19" width="4.140625" bestFit="1" customWidth="1"/>
    <col min="20" max="20" width="8.140625" bestFit="1" customWidth="1"/>
    <col min="21" max="21" width="4.42578125" bestFit="1" customWidth="1"/>
    <col min="22" max="22" width="8.140625" bestFit="1" customWidth="1"/>
    <col min="23" max="23" width="4.5703125" bestFit="1" customWidth="1"/>
    <col min="24" max="24" width="8.140625" bestFit="1" customWidth="1"/>
    <col min="25" max="25" width="4.140625" bestFit="1" customWidth="1"/>
    <col min="26" max="26" width="8.140625" bestFit="1" customWidth="1"/>
  </cols>
  <sheetData>
    <row r="2" spans="1:26" ht="18" x14ac:dyDescent="0.35">
      <c r="A2" s="661" t="s">
        <v>363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</row>
    <row r="3" spans="1:26" ht="18" x14ac:dyDescent="0.35">
      <c r="A3" s="648" t="s">
        <v>331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366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95" t="s">
        <v>108</v>
      </c>
      <c r="B6" s="96" t="s">
        <v>16</v>
      </c>
      <c r="C6" s="295" t="s">
        <v>327</v>
      </c>
      <c r="D6" s="296" t="s">
        <v>1</v>
      </c>
      <c r="E6" s="295" t="s">
        <v>328</v>
      </c>
      <c r="F6" s="296" t="s">
        <v>1</v>
      </c>
      <c r="G6" s="534" t="s">
        <v>349</v>
      </c>
      <c r="H6" s="535" t="s">
        <v>1</v>
      </c>
      <c r="I6" s="534" t="s">
        <v>350</v>
      </c>
      <c r="J6" s="535" t="s">
        <v>1</v>
      </c>
      <c r="K6" s="534" t="s">
        <v>351</v>
      </c>
      <c r="L6" s="535" t="s">
        <v>1</v>
      </c>
      <c r="M6" s="534" t="s">
        <v>353</v>
      </c>
      <c r="N6" s="535" t="s">
        <v>1</v>
      </c>
      <c r="O6" s="534" t="s">
        <v>354</v>
      </c>
      <c r="P6" s="535" t="s">
        <v>1</v>
      </c>
      <c r="Q6" s="534" t="s">
        <v>2</v>
      </c>
      <c r="R6" s="535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6.5" thickTop="1" thickBot="1" x14ac:dyDescent="0.3">
      <c r="A7" s="97" t="s">
        <v>148</v>
      </c>
      <c r="B7" s="98">
        <v>155</v>
      </c>
      <c r="C7" s="557">
        <v>407</v>
      </c>
      <c r="D7" s="559">
        <f>((C7/$B7))-1</f>
        <v>1.6258064516129034</v>
      </c>
      <c r="E7" s="557">
        <v>400</v>
      </c>
      <c r="F7" s="559">
        <f>((E7/$B7))-1</f>
        <v>1.5806451612903225</v>
      </c>
      <c r="G7" s="60">
        <v>396</v>
      </c>
      <c r="H7" s="61">
        <f>((G7/$B7))-1</f>
        <v>1.5548387096774192</v>
      </c>
      <c r="I7" s="60">
        <v>392</v>
      </c>
      <c r="J7" s="61">
        <f>((I7/$B7))-1</f>
        <v>1.5290322580645159</v>
      </c>
      <c r="K7" s="60">
        <v>402</v>
      </c>
      <c r="L7" s="61">
        <f>((K7/$B7))-1</f>
        <v>1.5935483870967744</v>
      </c>
      <c r="M7" s="60">
        <v>410</v>
      </c>
      <c r="N7" s="61">
        <f>((M7/$B7))-1</f>
        <v>1.6451612903225805</v>
      </c>
      <c r="O7" s="556">
        <v>398</v>
      </c>
      <c r="P7" s="393">
        <f>((O7/$B7))-1</f>
        <v>1.5677419354838711</v>
      </c>
      <c r="Q7" s="556">
        <v>408</v>
      </c>
      <c r="R7" s="393">
        <f>((Q7/$B7))-1</f>
        <v>1.6322580645161291</v>
      </c>
      <c r="S7" s="556">
        <v>425</v>
      </c>
      <c r="T7" s="616">
        <f t="shared" ref="T7" si="0">S7/$B7</f>
        <v>2.7419354838709675</v>
      </c>
      <c r="U7" s="556">
        <v>434</v>
      </c>
      <c r="V7" s="616">
        <f t="shared" ref="V7" si="1">U7/$B7</f>
        <v>2.8</v>
      </c>
      <c r="W7" s="556">
        <v>426</v>
      </c>
      <c r="X7" s="616">
        <f t="shared" ref="X7" si="2">W7/$B7</f>
        <v>2.7483870967741937</v>
      </c>
      <c r="Y7" s="556">
        <v>407</v>
      </c>
      <c r="Z7" s="616">
        <f t="shared" ref="Z7" si="3">Y7/$B7</f>
        <v>2.6258064516129034</v>
      </c>
    </row>
    <row r="8" spans="1:26" ht="15.75" thickBot="1" x14ac:dyDescent="0.3">
      <c r="A8" s="68" t="s">
        <v>7</v>
      </c>
      <c r="B8" s="72">
        <f>SUM(B7:B7)</f>
        <v>155</v>
      </c>
      <c r="C8" s="76">
        <f>SUM(C7:C7)</f>
        <v>407</v>
      </c>
      <c r="D8" s="90">
        <f>((C8/$B8))-1</f>
        <v>1.6258064516129034</v>
      </c>
      <c r="E8" s="76">
        <f>SUM(E7:E7)</f>
        <v>400</v>
      </c>
      <c r="F8" s="90">
        <f>((E8/$B8))-1</f>
        <v>1.5806451612903225</v>
      </c>
      <c r="G8" s="76">
        <f>SUM(G7:G7)</f>
        <v>396</v>
      </c>
      <c r="H8" s="90">
        <f>((G8/$B8))-1</f>
        <v>1.5548387096774192</v>
      </c>
      <c r="I8" s="76">
        <f>SUM(I7:I7)</f>
        <v>392</v>
      </c>
      <c r="J8" s="90">
        <f>((I8/$B8))-1</f>
        <v>1.5290322580645159</v>
      </c>
      <c r="K8" s="76">
        <f>SUM(K7:K7)</f>
        <v>402</v>
      </c>
      <c r="L8" s="90">
        <f>((K8/$B8))-1</f>
        <v>1.5935483870967744</v>
      </c>
      <c r="M8" s="76">
        <f>SUM(M7:M7)</f>
        <v>410</v>
      </c>
      <c r="N8" s="90">
        <f>((M8/$B8))-1</f>
        <v>1.6451612903225805</v>
      </c>
      <c r="O8" s="76">
        <f>SUM(O7:O7)</f>
        <v>398</v>
      </c>
      <c r="P8" s="90">
        <f>((O8/$B8))-1</f>
        <v>1.5677419354838711</v>
      </c>
      <c r="Q8" s="76">
        <f>SUM(Q7:Q7)</f>
        <v>408</v>
      </c>
      <c r="R8" s="90">
        <f>((Q8/$B8))-1</f>
        <v>1.6322580645161291</v>
      </c>
      <c r="S8" s="573"/>
      <c r="T8" s="561">
        <f>((S8/$B$8))-1</f>
        <v>-1</v>
      </c>
      <c r="U8" s="573"/>
      <c r="V8" s="561">
        <f>((U8/$B$8))-1</f>
        <v>-1</v>
      </c>
      <c r="W8" s="573"/>
      <c r="X8" s="561">
        <f>((W8/$B$8))-1</f>
        <v>-1</v>
      </c>
      <c r="Y8" s="573"/>
      <c r="Z8" s="561">
        <f>((Y8/$B$8))-1</f>
        <v>-1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Z29"/>
  <sheetViews>
    <sheetView workbookViewId="0"/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8.140625" bestFit="1" customWidth="1"/>
    <col min="5" max="5" width="5.42578125" bestFit="1" customWidth="1"/>
    <col min="6" max="6" width="8.140625" bestFit="1" customWidth="1"/>
    <col min="7" max="7" width="5.42578125" bestFit="1" customWidth="1"/>
    <col min="8" max="8" width="8.140625" bestFit="1" customWidth="1"/>
    <col min="9" max="9" width="5.42578125" bestFit="1" customWidth="1"/>
    <col min="10" max="10" width="8.140625" bestFit="1" customWidth="1"/>
    <col min="11" max="11" width="5.42578125" bestFit="1" customWidth="1"/>
    <col min="12" max="12" width="8.140625" bestFit="1" customWidth="1"/>
    <col min="13" max="13" width="5.42578125" bestFit="1" customWidth="1"/>
    <col min="14" max="14" width="8.140625" bestFit="1" customWidth="1"/>
    <col min="15" max="15" width="5.42578125" bestFit="1" customWidth="1"/>
    <col min="16" max="16" width="8.140625" bestFit="1" customWidth="1"/>
    <col min="17" max="17" width="5.42578125" bestFit="1" customWidth="1"/>
    <col min="18" max="18" width="7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661" t="s">
        <v>363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</row>
    <row r="3" spans="1:26" ht="18" x14ac:dyDescent="0.35">
      <c r="A3" s="648" t="s">
        <v>331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364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125" t="s">
        <v>15</v>
      </c>
      <c r="B6" s="126" t="s">
        <v>16</v>
      </c>
      <c r="C6" s="579" t="s">
        <v>327</v>
      </c>
      <c r="D6" s="580" t="s">
        <v>1</v>
      </c>
      <c r="E6" s="579" t="s">
        <v>328</v>
      </c>
      <c r="F6" s="580" t="s">
        <v>1</v>
      </c>
      <c r="G6" s="534" t="s">
        <v>349</v>
      </c>
      <c r="H6" s="535" t="s">
        <v>1</v>
      </c>
      <c r="I6" s="534" t="s">
        <v>350</v>
      </c>
      <c r="J6" s="535" t="s">
        <v>1</v>
      </c>
      <c r="K6" s="534" t="s">
        <v>351</v>
      </c>
      <c r="L6" s="535" t="s">
        <v>1</v>
      </c>
      <c r="M6" s="534" t="s">
        <v>353</v>
      </c>
      <c r="N6" s="535" t="s">
        <v>1</v>
      </c>
      <c r="O6" s="534" t="s">
        <v>354</v>
      </c>
      <c r="P6" s="535" t="s">
        <v>1</v>
      </c>
      <c r="Q6" s="534" t="s">
        <v>2</v>
      </c>
      <c r="R6" s="535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5.75" thickTop="1" x14ac:dyDescent="0.25">
      <c r="A7" s="130" t="s">
        <v>110</v>
      </c>
      <c r="B7" s="131">
        <v>460</v>
      </c>
      <c r="C7" s="568">
        <v>335</v>
      </c>
      <c r="D7" s="576">
        <f>((C7/$B7))-1</f>
        <v>-0.27173913043478259</v>
      </c>
      <c r="E7" s="568">
        <v>480</v>
      </c>
      <c r="F7" s="576">
        <f>((E7/$B7))-1</f>
        <v>4.3478260869565188E-2</v>
      </c>
      <c r="G7" s="132">
        <v>555</v>
      </c>
      <c r="H7" s="133">
        <f>((G7/$B7))-1</f>
        <v>0.20652173913043481</v>
      </c>
      <c r="I7" s="545">
        <v>486</v>
      </c>
      <c r="J7" s="133">
        <f>((I7/$B7))-1</f>
        <v>5.6521739130434678E-2</v>
      </c>
      <c r="K7" s="545">
        <v>567</v>
      </c>
      <c r="L7" s="133">
        <f>((K7/$B7))-1</f>
        <v>0.23260869565217401</v>
      </c>
      <c r="M7" s="545">
        <v>546</v>
      </c>
      <c r="N7" s="133">
        <f>((M7/$B7))-1</f>
        <v>0.18695652173913047</v>
      </c>
      <c r="O7" s="554">
        <v>575</v>
      </c>
      <c r="P7" s="133">
        <f>((O7/$B7))-1</f>
        <v>0.25</v>
      </c>
      <c r="Q7" s="554">
        <v>470</v>
      </c>
      <c r="R7" s="133">
        <f>((Q7/$B7))-1</f>
        <v>2.1739130434782705E-2</v>
      </c>
      <c r="S7" s="554">
        <v>418</v>
      </c>
      <c r="T7" s="619">
        <f t="shared" ref="T7:T17" si="0">S7/$B7</f>
        <v>0.90869565217391302</v>
      </c>
      <c r="U7" s="554">
        <v>541</v>
      </c>
      <c r="V7" s="619">
        <f t="shared" ref="V7:V17" si="1">U7/$B7</f>
        <v>1.1760869565217391</v>
      </c>
      <c r="W7" s="554">
        <v>416</v>
      </c>
      <c r="X7" s="619">
        <f t="shared" ref="X7:X17" si="2">W7/$B7</f>
        <v>0.90434782608695652</v>
      </c>
      <c r="Y7" s="554">
        <v>376</v>
      </c>
      <c r="Z7" s="619">
        <f t="shared" ref="Z7:Z17" si="3">Y7/$B7</f>
        <v>0.81739130434782614</v>
      </c>
    </row>
    <row r="8" spans="1:26" x14ac:dyDescent="0.25">
      <c r="A8" s="130" t="s">
        <v>111</v>
      </c>
      <c r="B8" s="131">
        <v>690</v>
      </c>
      <c r="C8" s="568">
        <v>772</v>
      </c>
      <c r="D8" s="576">
        <f t="shared" ref="D8:D17" si="4">((C8/$B8))-1</f>
        <v>0.11884057971014483</v>
      </c>
      <c r="E8" s="568">
        <v>720</v>
      </c>
      <c r="F8" s="576">
        <f t="shared" ref="F8:F17" si="5">((E8/$B8))-1</f>
        <v>4.3478260869565188E-2</v>
      </c>
      <c r="G8" s="132">
        <v>790</v>
      </c>
      <c r="H8" s="133">
        <f t="shared" ref="H8:H17" si="6">((G8/$B8))-1</f>
        <v>0.14492753623188404</v>
      </c>
      <c r="I8" s="545">
        <v>794</v>
      </c>
      <c r="J8" s="133">
        <f t="shared" ref="J8:J17" si="7">((I8/$B8))-1</f>
        <v>0.15072463768115951</v>
      </c>
      <c r="K8" s="545">
        <v>571</v>
      </c>
      <c r="L8" s="133">
        <f t="shared" ref="L8:L17" si="8">((K8/$B8))-1</f>
        <v>-0.172463768115942</v>
      </c>
      <c r="M8" s="545">
        <v>657</v>
      </c>
      <c r="N8" s="133">
        <f t="shared" ref="N8:N17" si="9">((M8/$B8))-1</f>
        <v>-4.7826086956521685E-2</v>
      </c>
      <c r="O8" s="554">
        <v>617</v>
      </c>
      <c r="P8" s="133">
        <f t="shared" ref="P8:P17" si="10">((O8/$B8))-1</f>
        <v>-0.10579710144927534</v>
      </c>
      <c r="Q8" s="554">
        <v>829</v>
      </c>
      <c r="R8" s="133">
        <f t="shared" ref="R8:R17" si="11">((Q8/$B8))-1</f>
        <v>0.20144927536231894</v>
      </c>
      <c r="S8" s="554">
        <v>840</v>
      </c>
      <c r="T8" s="619">
        <f t="shared" si="0"/>
        <v>1.2173913043478262</v>
      </c>
      <c r="U8" s="554">
        <v>591</v>
      </c>
      <c r="V8" s="619">
        <f t="shared" si="1"/>
        <v>0.85652173913043483</v>
      </c>
      <c r="W8" s="554">
        <v>709</v>
      </c>
      <c r="X8" s="619">
        <f t="shared" si="2"/>
        <v>1.027536231884058</v>
      </c>
      <c r="Y8" s="554">
        <v>735</v>
      </c>
      <c r="Z8" s="619">
        <f t="shared" si="3"/>
        <v>1.0652173913043479</v>
      </c>
    </row>
    <row r="9" spans="1:26" x14ac:dyDescent="0.25">
      <c r="A9" s="130" t="s">
        <v>112</v>
      </c>
      <c r="B9" s="131">
        <v>575</v>
      </c>
      <c r="C9" s="568">
        <v>343</v>
      </c>
      <c r="D9" s="576">
        <f t="shared" si="4"/>
        <v>-0.40347826086956518</v>
      </c>
      <c r="E9" s="568">
        <v>590</v>
      </c>
      <c r="F9" s="576">
        <f t="shared" si="5"/>
        <v>2.6086956521739202E-2</v>
      </c>
      <c r="G9" s="132">
        <v>676</v>
      </c>
      <c r="H9" s="133">
        <f t="shared" si="6"/>
        <v>0.17565217391304344</v>
      </c>
      <c r="I9" s="545">
        <v>579</v>
      </c>
      <c r="J9" s="133">
        <f t="shared" si="7"/>
        <v>6.9565217391305278E-3</v>
      </c>
      <c r="K9" s="545">
        <v>660</v>
      </c>
      <c r="L9" s="133">
        <f t="shared" si="8"/>
        <v>0.14782608695652177</v>
      </c>
      <c r="M9" s="545">
        <v>632</v>
      </c>
      <c r="N9" s="133">
        <f t="shared" si="9"/>
        <v>9.9130434782608745E-2</v>
      </c>
      <c r="O9" s="554">
        <v>583</v>
      </c>
      <c r="P9" s="133">
        <f t="shared" si="10"/>
        <v>1.3913043478260834E-2</v>
      </c>
      <c r="Q9" s="554">
        <v>327</v>
      </c>
      <c r="R9" s="133">
        <f t="shared" si="11"/>
        <v>-0.43130434782608695</v>
      </c>
      <c r="S9" s="554">
        <v>512</v>
      </c>
      <c r="T9" s="619">
        <f t="shared" si="0"/>
        <v>0.89043478260869569</v>
      </c>
      <c r="U9" s="554">
        <v>491</v>
      </c>
      <c r="V9" s="619">
        <f t="shared" si="1"/>
        <v>0.85391304347826091</v>
      </c>
      <c r="W9" s="554">
        <v>514</v>
      </c>
      <c r="X9" s="619">
        <f t="shared" si="2"/>
        <v>0.89391304347826084</v>
      </c>
      <c r="Y9" s="554">
        <v>677</v>
      </c>
      <c r="Z9" s="619">
        <f t="shared" si="3"/>
        <v>1.1773913043478261</v>
      </c>
    </row>
    <row r="10" spans="1:26" x14ac:dyDescent="0.25">
      <c r="A10" s="130" t="s">
        <v>113</v>
      </c>
      <c r="B10" s="131">
        <v>690</v>
      </c>
      <c r="C10" s="568">
        <v>724</v>
      </c>
      <c r="D10" s="576">
        <f t="shared" si="4"/>
        <v>4.9275362318840665E-2</v>
      </c>
      <c r="E10" s="568">
        <v>466</v>
      </c>
      <c r="F10" s="576">
        <f t="shared" si="5"/>
        <v>-0.32463768115942027</v>
      </c>
      <c r="G10" s="132">
        <v>498</v>
      </c>
      <c r="H10" s="133">
        <f t="shared" si="6"/>
        <v>-0.27826086956521734</v>
      </c>
      <c r="I10" s="545">
        <v>531</v>
      </c>
      <c r="J10" s="133">
        <f t="shared" si="7"/>
        <v>-0.23043478260869565</v>
      </c>
      <c r="K10" s="545">
        <v>531</v>
      </c>
      <c r="L10" s="133">
        <f t="shared" si="8"/>
        <v>-0.23043478260869565</v>
      </c>
      <c r="M10" s="545">
        <v>329</v>
      </c>
      <c r="N10" s="133">
        <f t="shared" si="9"/>
        <v>-0.52318840579710146</v>
      </c>
      <c r="O10" s="554">
        <v>442</v>
      </c>
      <c r="P10" s="133">
        <f t="shared" si="10"/>
        <v>-0.35942028985507246</v>
      </c>
      <c r="Q10" s="554">
        <v>467</v>
      </c>
      <c r="R10" s="133">
        <f t="shared" si="11"/>
        <v>-0.3231884057971014</v>
      </c>
      <c r="S10" s="554">
        <v>418</v>
      </c>
      <c r="T10" s="619">
        <f t="shared" si="0"/>
        <v>0.60579710144927534</v>
      </c>
      <c r="U10" s="554">
        <v>262</v>
      </c>
      <c r="V10" s="619">
        <f t="shared" si="1"/>
        <v>0.37971014492753624</v>
      </c>
      <c r="W10" s="554">
        <v>404</v>
      </c>
      <c r="X10" s="619">
        <f t="shared" si="2"/>
        <v>0.58550724637681162</v>
      </c>
      <c r="Y10" s="554">
        <v>324</v>
      </c>
      <c r="Z10" s="619">
        <f t="shared" si="3"/>
        <v>0.46956521739130436</v>
      </c>
    </row>
    <row r="11" spans="1:26" x14ac:dyDescent="0.25">
      <c r="A11" s="130" t="s">
        <v>114</v>
      </c>
      <c r="B11" s="131">
        <v>690</v>
      </c>
      <c r="C11" s="568">
        <v>759</v>
      </c>
      <c r="D11" s="576">
        <f t="shared" si="4"/>
        <v>0.10000000000000009</v>
      </c>
      <c r="E11" s="568">
        <v>759</v>
      </c>
      <c r="F11" s="576">
        <f t="shared" si="5"/>
        <v>0.10000000000000009</v>
      </c>
      <c r="G11" s="132">
        <v>688</v>
      </c>
      <c r="H11" s="133">
        <f t="shared" si="6"/>
        <v>-2.8985507246376274E-3</v>
      </c>
      <c r="I11" s="545">
        <v>669</v>
      </c>
      <c r="J11" s="133">
        <f t="shared" si="7"/>
        <v>-3.0434782608695699E-2</v>
      </c>
      <c r="K11" s="545">
        <v>573</v>
      </c>
      <c r="L11" s="133">
        <f t="shared" si="8"/>
        <v>-0.16956521739130437</v>
      </c>
      <c r="M11" s="545">
        <v>317</v>
      </c>
      <c r="N11" s="133">
        <f t="shared" si="9"/>
        <v>-0.54057971014492756</v>
      </c>
      <c r="O11" s="554">
        <v>571</v>
      </c>
      <c r="P11" s="133">
        <f t="shared" si="10"/>
        <v>-0.172463768115942</v>
      </c>
      <c r="Q11" s="554">
        <v>677</v>
      </c>
      <c r="R11" s="133">
        <f t="shared" si="11"/>
        <v>-1.8840579710144967E-2</v>
      </c>
      <c r="S11" s="554">
        <v>605</v>
      </c>
      <c r="T11" s="619">
        <f t="shared" si="0"/>
        <v>0.87681159420289856</v>
      </c>
      <c r="U11" s="554">
        <v>644</v>
      </c>
      <c r="V11" s="619">
        <f t="shared" si="1"/>
        <v>0.93333333333333335</v>
      </c>
      <c r="W11" s="554">
        <v>524</v>
      </c>
      <c r="X11" s="619">
        <f t="shared" si="2"/>
        <v>0.75942028985507248</v>
      </c>
      <c r="Y11" s="554">
        <v>650</v>
      </c>
      <c r="Z11" s="619">
        <f t="shared" si="3"/>
        <v>0.94202898550724634</v>
      </c>
    </row>
    <row r="12" spans="1:26" x14ac:dyDescent="0.25">
      <c r="A12" s="130" t="s">
        <v>115</v>
      </c>
      <c r="B12" s="131">
        <v>460</v>
      </c>
      <c r="C12" s="568">
        <v>0</v>
      </c>
      <c r="D12" s="576">
        <f t="shared" si="4"/>
        <v>-1</v>
      </c>
      <c r="E12" s="568">
        <v>0</v>
      </c>
      <c r="F12" s="576">
        <f t="shared" si="5"/>
        <v>-1</v>
      </c>
      <c r="G12" s="132">
        <v>0</v>
      </c>
      <c r="H12" s="133">
        <f t="shared" si="6"/>
        <v>-1</v>
      </c>
      <c r="I12" s="545">
        <v>0</v>
      </c>
      <c r="J12" s="133">
        <f t="shared" si="7"/>
        <v>-1</v>
      </c>
      <c r="K12" s="545">
        <v>0</v>
      </c>
      <c r="L12" s="133">
        <f t="shared" si="8"/>
        <v>-1</v>
      </c>
      <c r="M12" s="545">
        <v>0</v>
      </c>
      <c r="N12" s="133">
        <f t="shared" si="9"/>
        <v>-1</v>
      </c>
      <c r="O12" s="554">
        <v>0</v>
      </c>
      <c r="P12" s="133">
        <f t="shared" si="10"/>
        <v>-1</v>
      </c>
      <c r="Q12" s="554">
        <v>77</v>
      </c>
      <c r="R12" s="133">
        <f t="shared" si="11"/>
        <v>-0.83260869565217388</v>
      </c>
      <c r="S12" s="554">
        <v>114</v>
      </c>
      <c r="T12" s="619">
        <f t="shared" si="0"/>
        <v>0.24782608695652175</v>
      </c>
      <c r="U12" s="554">
        <v>0</v>
      </c>
      <c r="V12" s="619">
        <f t="shared" si="1"/>
        <v>0</v>
      </c>
      <c r="W12" s="554">
        <v>0</v>
      </c>
      <c r="X12" s="619">
        <f t="shared" si="2"/>
        <v>0</v>
      </c>
      <c r="Y12" s="554">
        <v>0</v>
      </c>
      <c r="Z12" s="619">
        <f t="shared" si="3"/>
        <v>0</v>
      </c>
    </row>
    <row r="13" spans="1:26" x14ac:dyDescent="0.25">
      <c r="A13" s="130" t="s">
        <v>116</v>
      </c>
      <c r="B13" s="131">
        <v>575</v>
      </c>
      <c r="C13" s="568">
        <v>475</v>
      </c>
      <c r="D13" s="576">
        <f t="shared" si="4"/>
        <v>-0.17391304347826086</v>
      </c>
      <c r="E13" s="568">
        <v>547</v>
      </c>
      <c r="F13" s="576">
        <f t="shared" si="5"/>
        <v>-4.8695652173913029E-2</v>
      </c>
      <c r="G13" s="132">
        <v>570</v>
      </c>
      <c r="H13" s="133">
        <f t="shared" si="6"/>
        <v>-8.6956521739129933E-3</v>
      </c>
      <c r="I13" s="545">
        <v>455</v>
      </c>
      <c r="J13" s="133">
        <f t="shared" si="7"/>
        <v>-0.20869565217391306</v>
      </c>
      <c r="K13" s="545">
        <v>559</v>
      </c>
      <c r="L13" s="133">
        <f t="shared" si="8"/>
        <v>-2.7826086956521778E-2</v>
      </c>
      <c r="M13" s="545">
        <v>437</v>
      </c>
      <c r="N13" s="133">
        <f t="shared" si="9"/>
        <v>-0.24</v>
      </c>
      <c r="O13" s="554">
        <v>301</v>
      </c>
      <c r="P13" s="133">
        <f t="shared" si="10"/>
        <v>-0.47652173913043483</v>
      </c>
      <c r="Q13" s="554">
        <v>620</v>
      </c>
      <c r="R13" s="133">
        <f t="shared" si="11"/>
        <v>7.8260869565217384E-2</v>
      </c>
      <c r="S13" s="554">
        <v>530</v>
      </c>
      <c r="T13" s="619">
        <f t="shared" si="0"/>
        <v>0.92173913043478262</v>
      </c>
      <c r="U13" s="554">
        <v>470</v>
      </c>
      <c r="V13" s="619">
        <f t="shared" si="1"/>
        <v>0.81739130434782614</v>
      </c>
      <c r="W13" s="554">
        <v>552</v>
      </c>
      <c r="X13" s="619">
        <f t="shared" si="2"/>
        <v>0.96</v>
      </c>
      <c r="Y13" s="554">
        <v>601</v>
      </c>
      <c r="Z13" s="619">
        <f t="shared" si="3"/>
        <v>1.0452173913043479</v>
      </c>
    </row>
    <row r="14" spans="1:26" x14ac:dyDescent="0.25">
      <c r="A14" s="130" t="s">
        <v>117</v>
      </c>
      <c r="B14" s="131">
        <v>345</v>
      </c>
      <c r="C14" s="568">
        <v>394</v>
      </c>
      <c r="D14" s="576">
        <f t="shared" si="4"/>
        <v>0.1420289855072463</v>
      </c>
      <c r="E14" s="568">
        <v>373</v>
      </c>
      <c r="F14" s="576">
        <f t="shared" si="5"/>
        <v>8.1159420289855122E-2</v>
      </c>
      <c r="G14" s="132">
        <v>351</v>
      </c>
      <c r="H14" s="133">
        <f t="shared" si="6"/>
        <v>1.7391304347825987E-2</v>
      </c>
      <c r="I14" s="545">
        <v>362</v>
      </c>
      <c r="J14" s="133">
        <f t="shared" si="7"/>
        <v>4.9275362318840665E-2</v>
      </c>
      <c r="K14" s="545">
        <v>331</v>
      </c>
      <c r="L14" s="133">
        <f t="shared" si="8"/>
        <v>-4.0579710144927561E-2</v>
      </c>
      <c r="M14" s="545">
        <v>232</v>
      </c>
      <c r="N14" s="133">
        <f t="shared" si="9"/>
        <v>-0.327536231884058</v>
      </c>
      <c r="O14" s="554">
        <v>249</v>
      </c>
      <c r="P14" s="133">
        <f t="shared" si="10"/>
        <v>-0.27826086956521734</v>
      </c>
      <c r="Q14" s="554">
        <v>322</v>
      </c>
      <c r="R14" s="133">
        <f t="shared" si="11"/>
        <v>-6.6666666666666652E-2</v>
      </c>
      <c r="S14" s="554">
        <v>421</v>
      </c>
      <c r="T14" s="619">
        <f t="shared" si="0"/>
        <v>1.2202898550724637</v>
      </c>
      <c r="U14" s="554">
        <v>349</v>
      </c>
      <c r="V14" s="619">
        <f t="shared" si="1"/>
        <v>1.0115942028985507</v>
      </c>
      <c r="W14" s="554">
        <v>366</v>
      </c>
      <c r="X14" s="619">
        <f t="shared" si="2"/>
        <v>1.0608695652173914</v>
      </c>
      <c r="Y14" s="554">
        <v>427</v>
      </c>
      <c r="Z14" s="619">
        <f t="shared" si="3"/>
        <v>1.2376811594202899</v>
      </c>
    </row>
    <row r="15" spans="1:26" x14ac:dyDescent="0.25">
      <c r="A15" s="134" t="s">
        <v>118</v>
      </c>
      <c r="B15" s="135">
        <v>230</v>
      </c>
      <c r="C15" s="570">
        <v>118</v>
      </c>
      <c r="D15" s="577">
        <f t="shared" si="4"/>
        <v>-0.4869565217391304</v>
      </c>
      <c r="E15" s="568">
        <v>85</v>
      </c>
      <c r="F15" s="577">
        <f t="shared" si="5"/>
        <v>-0.63043478260869568</v>
      </c>
      <c r="G15" s="136">
        <v>187</v>
      </c>
      <c r="H15" s="137">
        <f t="shared" si="6"/>
        <v>-0.18695652173913047</v>
      </c>
      <c r="I15" s="545">
        <v>92</v>
      </c>
      <c r="J15" s="137">
        <f t="shared" si="7"/>
        <v>-0.6</v>
      </c>
      <c r="K15" s="545">
        <v>145</v>
      </c>
      <c r="L15" s="137">
        <f t="shared" si="8"/>
        <v>-0.36956521739130432</v>
      </c>
      <c r="M15" s="545">
        <v>104</v>
      </c>
      <c r="N15" s="137">
        <f t="shared" si="9"/>
        <v>-0.54782608695652169</v>
      </c>
      <c r="O15" s="554">
        <v>94</v>
      </c>
      <c r="P15" s="137">
        <f t="shared" si="10"/>
        <v>-0.59130434782608687</v>
      </c>
      <c r="Q15" s="554">
        <v>182</v>
      </c>
      <c r="R15" s="137">
        <f t="shared" si="11"/>
        <v>-0.20869565217391306</v>
      </c>
      <c r="S15" s="94">
        <v>101</v>
      </c>
      <c r="T15" s="619">
        <f t="shared" si="0"/>
        <v>0.43913043478260871</v>
      </c>
      <c r="U15" s="554">
        <v>109</v>
      </c>
      <c r="V15" s="619">
        <f t="shared" si="1"/>
        <v>0.47391304347826085</v>
      </c>
      <c r="W15" s="554">
        <v>135</v>
      </c>
      <c r="X15" s="619">
        <f t="shared" si="2"/>
        <v>0.58695652173913049</v>
      </c>
      <c r="Y15" s="554">
        <v>148</v>
      </c>
      <c r="Z15" s="619">
        <f t="shared" si="3"/>
        <v>0.64347826086956517</v>
      </c>
    </row>
    <row r="16" spans="1:26" ht="15.75" thickBot="1" x14ac:dyDescent="0.3">
      <c r="A16" s="138" t="s">
        <v>119</v>
      </c>
      <c r="B16" s="139">
        <v>115</v>
      </c>
      <c r="C16" s="574">
        <v>76</v>
      </c>
      <c r="D16" s="575">
        <f t="shared" si="4"/>
        <v>-0.33913043478260874</v>
      </c>
      <c r="E16" s="578">
        <v>55</v>
      </c>
      <c r="F16" s="575">
        <f t="shared" si="5"/>
        <v>-0.52173913043478259</v>
      </c>
      <c r="G16" s="140">
        <v>123</v>
      </c>
      <c r="H16" s="141">
        <f t="shared" si="6"/>
        <v>6.956521739130439E-2</v>
      </c>
      <c r="I16" s="546">
        <v>115</v>
      </c>
      <c r="J16" s="141">
        <f t="shared" si="7"/>
        <v>0</v>
      </c>
      <c r="K16" s="546">
        <v>143</v>
      </c>
      <c r="L16" s="141">
        <f t="shared" si="8"/>
        <v>0.24347826086956514</v>
      </c>
      <c r="M16" s="546">
        <v>106</v>
      </c>
      <c r="N16" s="141">
        <f t="shared" si="9"/>
        <v>-7.8260869565217384E-2</v>
      </c>
      <c r="O16" s="555">
        <v>100</v>
      </c>
      <c r="P16" s="141">
        <f t="shared" si="10"/>
        <v>-0.13043478260869568</v>
      </c>
      <c r="Q16" s="555">
        <v>161</v>
      </c>
      <c r="R16" s="141">
        <f t="shared" si="11"/>
        <v>0.39999999999999991</v>
      </c>
      <c r="S16" s="94"/>
      <c r="T16" s="620">
        <f t="shared" si="0"/>
        <v>0</v>
      </c>
      <c r="U16" s="94"/>
      <c r="V16" s="620">
        <f t="shared" si="1"/>
        <v>0</v>
      </c>
      <c r="W16" s="94"/>
      <c r="X16" s="620">
        <f t="shared" si="2"/>
        <v>0</v>
      </c>
      <c r="Y16" s="94">
        <v>0</v>
      </c>
      <c r="Z16" s="620">
        <f t="shared" si="3"/>
        <v>0</v>
      </c>
    </row>
    <row r="17" spans="1:26" ht="15.75" thickBot="1" x14ac:dyDescent="0.3">
      <c r="A17" s="68" t="s">
        <v>7</v>
      </c>
      <c r="B17" s="72">
        <f>SUM(B7:B16)</f>
        <v>4830</v>
      </c>
      <c r="C17" s="76">
        <f>SUM(C7:C16)</f>
        <v>3996</v>
      </c>
      <c r="D17" s="90">
        <f t="shared" si="4"/>
        <v>-0.17267080745341612</v>
      </c>
      <c r="E17" s="76">
        <f>SUM(E7:E16)</f>
        <v>4075</v>
      </c>
      <c r="F17" s="90">
        <f t="shared" si="5"/>
        <v>-0.15631469979296064</v>
      </c>
      <c r="G17" s="76">
        <f>SUM(G7:G16)</f>
        <v>4438</v>
      </c>
      <c r="H17" s="90">
        <f t="shared" si="6"/>
        <v>-8.1159420289855122E-2</v>
      </c>
      <c r="I17" s="76">
        <f>SUM(I7:I16)</f>
        <v>4083</v>
      </c>
      <c r="J17" s="90">
        <f t="shared" si="7"/>
        <v>-0.15465838509316765</v>
      </c>
      <c r="K17" s="76">
        <f>SUM(K7:K16)</f>
        <v>4080</v>
      </c>
      <c r="L17" s="90">
        <f t="shared" si="8"/>
        <v>-0.15527950310559002</v>
      </c>
      <c r="M17" s="76">
        <f>SUM(M7:M16)</f>
        <v>3360</v>
      </c>
      <c r="N17" s="90">
        <f t="shared" si="9"/>
        <v>-0.30434782608695654</v>
      </c>
      <c r="O17" s="76">
        <f>SUM(O7:O16)</f>
        <v>3532</v>
      </c>
      <c r="P17" s="90">
        <f t="shared" si="10"/>
        <v>-0.26873706004140785</v>
      </c>
      <c r="Q17" s="76">
        <f>SUM(Q7:Q16)</f>
        <v>4132</v>
      </c>
      <c r="R17" s="90">
        <f t="shared" si="11"/>
        <v>-0.14451345755693579</v>
      </c>
      <c r="S17" s="621">
        <f>SUM(S7:S16)</f>
        <v>3959</v>
      </c>
      <c r="T17" s="622">
        <f t="shared" si="0"/>
        <v>0.8196687370600414</v>
      </c>
      <c r="U17" s="621">
        <f>SUM(U7:U16)</f>
        <v>3457</v>
      </c>
      <c r="V17" s="622">
        <f t="shared" si="1"/>
        <v>0.71573498964803317</v>
      </c>
      <c r="W17" s="621">
        <f>SUM(W7:W16)</f>
        <v>3620</v>
      </c>
      <c r="X17" s="622">
        <f t="shared" si="2"/>
        <v>0.74948240165631475</v>
      </c>
      <c r="Y17" s="621">
        <f>SUM(Y7:Y16)</f>
        <v>3938</v>
      </c>
      <c r="Z17" s="622">
        <f t="shared" si="3"/>
        <v>0.8153209109730849</v>
      </c>
    </row>
    <row r="18" spans="1:26" s="625" customFormat="1" x14ac:dyDescent="0.25">
      <c r="S18" s="626"/>
      <c r="T18" s="627"/>
      <c r="U18" s="626"/>
      <c r="V18" s="627"/>
      <c r="W18" s="626"/>
      <c r="X18" s="627"/>
      <c r="Y18" s="626"/>
      <c r="Z18" s="627"/>
    </row>
    <row r="19" spans="1:26" s="625" customFormat="1" x14ac:dyDescent="0.25">
      <c r="S19" s="628"/>
      <c r="T19" s="629"/>
      <c r="U19" s="628"/>
      <c r="V19" s="629"/>
      <c r="W19" s="628"/>
      <c r="X19" s="629"/>
      <c r="Y19" s="628"/>
      <c r="Z19" s="629"/>
    </row>
    <row r="20" spans="1:26" ht="15.75" x14ac:dyDescent="0.25">
      <c r="A20" s="649" t="s">
        <v>365</v>
      </c>
      <c r="B20" s="650"/>
      <c r="C20" s="650"/>
      <c r="D20" s="650"/>
      <c r="E20" s="650"/>
      <c r="F20" s="650"/>
      <c r="G20" s="650"/>
      <c r="H20" s="650"/>
      <c r="I20" s="650"/>
      <c r="J20" s="650"/>
      <c r="K20" s="650"/>
      <c r="L20" s="650"/>
      <c r="M20" s="650"/>
      <c r="N20" s="650"/>
      <c r="O20" s="650"/>
      <c r="P20" s="650"/>
      <c r="Q20" s="650"/>
      <c r="R20" s="650"/>
      <c r="S20" s="650"/>
      <c r="T20" s="650"/>
      <c r="U20" s="650"/>
      <c r="V20" s="650"/>
      <c r="W20" s="650"/>
      <c r="X20" s="650"/>
      <c r="Y20" s="650"/>
      <c r="Z20" s="650"/>
    </row>
    <row r="21" spans="1:26" ht="24.75" thickBot="1" x14ac:dyDescent="0.3">
      <c r="A21" s="113" t="s">
        <v>15</v>
      </c>
      <c r="B21" s="114" t="s">
        <v>16</v>
      </c>
      <c r="C21" s="295" t="s">
        <v>327</v>
      </c>
      <c r="D21" s="296" t="s">
        <v>1</v>
      </c>
      <c r="E21" s="295" t="s">
        <v>328</v>
      </c>
      <c r="F21" s="296" t="s">
        <v>1</v>
      </c>
      <c r="G21" s="534" t="s">
        <v>349</v>
      </c>
      <c r="H21" s="535" t="s">
        <v>1</v>
      </c>
      <c r="I21" s="534" t="s">
        <v>350</v>
      </c>
      <c r="J21" s="535" t="s">
        <v>1</v>
      </c>
      <c r="K21" s="534" t="s">
        <v>351</v>
      </c>
      <c r="L21" s="535" t="s">
        <v>1</v>
      </c>
      <c r="M21" s="534" t="s">
        <v>353</v>
      </c>
      <c r="N21" s="535" t="s">
        <v>1</v>
      </c>
      <c r="O21" s="534" t="s">
        <v>354</v>
      </c>
      <c r="P21" s="535" t="s">
        <v>1</v>
      </c>
      <c r="Q21" s="534" t="s">
        <v>2</v>
      </c>
      <c r="R21" s="535" t="s">
        <v>1</v>
      </c>
      <c r="S21" s="295" t="s">
        <v>3</v>
      </c>
      <c r="T21" s="296" t="s">
        <v>1</v>
      </c>
      <c r="U21" s="295" t="s">
        <v>4</v>
      </c>
      <c r="V21" s="296" t="s">
        <v>1</v>
      </c>
      <c r="W21" s="295" t="s">
        <v>5</v>
      </c>
      <c r="X21" s="296" t="s">
        <v>1</v>
      </c>
      <c r="Y21" s="295" t="s">
        <v>6</v>
      </c>
      <c r="Z21" s="296" t="s">
        <v>1</v>
      </c>
    </row>
    <row r="22" spans="1:26" ht="15.75" thickTop="1" x14ac:dyDescent="0.25">
      <c r="A22" s="115" t="s">
        <v>169</v>
      </c>
      <c r="B22" s="17">
        <v>120</v>
      </c>
      <c r="C22" s="424">
        <v>124</v>
      </c>
      <c r="D22" s="586">
        <f>((C22/$B22))-1</f>
        <v>3.3333333333333437E-2</v>
      </c>
      <c r="E22" s="424">
        <v>120</v>
      </c>
      <c r="F22" s="586">
        <f>((E22/$B22))-1</f>
        <v>0</v>
      </c>
      <c r="G22" s="18">
        <v>140</v>
      </c>
      <c r="H22" s="19">
        <f>((G22/$B22))-1</f>
        <v>0.16666666666666674</v>
      </c>
      <c r="I22" s="424">
        <v>36</v>
      </c>
      <c r="J22" s="19">
        <f>((I22/$B22))-1</f>
        <v>-0.7</v>
      </c>
      <c r="K22" s="424">
        <v>123</v>
      </c>
      <c r="L22" s="19">
        <f>((K22/$B22))-1</f>
        <v>2.4999999999999911E-2</v>
      </c>
      <c r="M22" s="424">
        <v>117</v>
      </c>
      <c r="N22" s="19">
        <f>((M22/$B22))-1</f>
        <v>-2.5000000000000022E-2</v>
      </c>
      <c r="O22" s="424">
        <v>129</v>
      </c>
      <c r="P22" s="19">
        <f>((O22/$B22))-1</f>
        <v>7.4999999999999956E-2</v>
      </c>
      <c r="Q22" s="424">
        <v>142</v>
      </c>
      <c r="R22" s="19">
        <f>((Q22/$B22))-1</f>
        <v>0.18333333333333335</v>
      </c>
      <c r="S22" s="424">
        <v>116</v>
      </c>
      <c r="T22" s="586">
        <f t="shared" ref="T22:T28" si="12">S22/$B22</f>
        <v>0.96666666666666667</v>
      </c>
      <c r="U22" s="424">
        <v>105</v>
      </c>
      <c r="V22" s="586">
        <f t="shared" ref="V22:V28" si="13">U22/$B22</f>
        <v>0.875</v>
      </c>
      <c r="W22" s="424">
        <v>142</v>
      </c>
      <c r="X22" s="586">
        <f t="shared" ref="X22:X28" si="14">W22/$B22</f>
        <v>1.1833333333333333</v>
      </c>
      <c r="Y22" s="424">
        <v>142</v>
      </c>
      <c r="Z22" s="586">
        <f t="shared" ref="Z22:Z28" si="15">Y22/$B22</f>
        <v>1.1833333333333333</v>
      </c>
    </row>
    <row r="23" spans="1:26" x14ac:dyDescent="0.25">
      <c r="A23" s="116" t="s">
        <v>170</v>
      </c>
      <c r="B23" s="117">
        <v>140</v>
      </c>
      <c r="C23" s="569">
        <v>146</v>
      </c>
      <c r="D23" s="586">
        <f t="shared" ref="D23:D29" si="16">((C23/$B23))-1</f>
        <v>4.2857142857142927E-2</v>
      </c>
      <c r="E23" s="569">
        <v>150</v>
      </c>
      <c r="F23" s="586">
        <f t="shared" ref="F23:F28" si="17">((E23/$B23))-1</f>
        <v>7.1428571428571397E-2</v>
      </c>
      <c r="G23" s="118">
        <v>175</v>
      </c>
      <c r="H23" s="19">
        <f t="shared" ref="H23:H29" si="18">((G23/$B23))-1</f>
        <v>0.25</v>
      </c>
      <c r="I23" s="548">
        <v>152</v>
      </c>
      <c r="J23" s="19">
        <f t="shared" ref="J23:J29" si="19">((I23/$B23))-1</f>
        <v>8.5714285714285632E-2</v>
      </c>
      <c r="K23" s="550">
        <v>169</v>
      </c>
      <c r="L23" s="19">
        <f t="shared" ref="L23:L28" si="20">((K23/$B23))-1</f>
        <v>0.20714285714285707</v>
      </c>
      <c r="M23" s="550">
        <v>154</v>
      </c>
      <c r="N23" s="19">
        <f t="shared" ref="N23" si="21">((M23/$B23))-1</f>
        <v>0.10000000000000009</v>
      </c>
      <c r="O23" s="553">
        <v>147</v>
      </c>
      <c r="P23" s="19">
        <f t="shared" ref="P23:P29" si="22">((O23/$B23))-1</f>
        <v>5.0000000000000044E-2</v>
      </c>
      <c r="Q23" s="553">
        <v>145</v>
      </c>
      <c r="R23" s="19">
        <f t="shared" ref="R23:R28" si="23">((Q23/$B23))-1</f>
        <v>3.5714285714285809E-2</v>
      </c>
      <c r="S23" s="623">
        <v>69</v>
      </c>
      <c r="T23" s="586">
        <f t="shared" si="12"/>
        <v>0.49285714285714288</v>
      </c>
      <c r="U23" s="623">
        <v>123</v>
      </c>
      <c r="V23" s="586">
        <f t="shared" si="13"/>
        <v>0.87857142857142856</v>
      </c>
      <c r="W23" s="623">
        <v>151</v>
      </c>
      <c r="X23" s="586">
        <f t="shared" si="14"/>
        <v>1.0785714285714285</v>
      </c>
      <c r="Y23" s="623">
        <v>131</v>
      </c>
      <c r="Z23" s="586">
        <f t="shared" si="15"/>
        <v>0.93571428571428572</v>
      </c>
    </row>
    <row r="24" spans="1:26" x14ac:dyDescent="0.25">
      <c r="A24" s="119" t="s">
        <v>171</v>
      </c>
      <c r="B24" s="117">
        <v>200</v>
      </c>
      <c r="C24" s="569">
        <v>133</v>
      </c>
      <c r="D24" s="586">
        <f t="shared" si="16"/>
        <v>-0.33499999999999996</v>
      </c>
      <c r="E24" s="569">
        <v>41</v>
      </c>
      <c r="F24" s="586">
        <f t="shared" si="17"/>
        <v>-0.79500000000000004</v>
      </c>
      <c r="G24" s="118">
        <v>137</v>
      </c>
      <c r="H24" s="19">
        <f t="shared" si="18"/>
        <v>-0.31499999999999995</v>
      </c>
      <c r="I24" s="548">
        <v>151</v>
      </c>
      <c r="J24" s="19">
        <f t="shared" si="19"/>
        <v>-0.245</v>
      </c>
      <c r="K24" s="550">
        <v>155</v>
      </c>
      <c r="L24" s="19">
        <f t="shared" si="20"/>
        <v>-0.22499999999999998</v>
      </c>
      <c r="M24" s="550">
        <v>126</v>
      </c>
      <c r="N24" s="19">
        <f t="shared" ref="N24" si="24">((M24/$B24))-1</f>
        <v>-0.37</v>
      </c>
      <c r="O24" s="553">
        <v>157</v>
      </c>
      <c r="P24" s="19">
        <f t="shared" si="22"/>
        <v>-0.21499999999999997</v>
      </c>
      <c r="Q24" s="553">
        <v>151</v>
      </c>
      <c r="R24" s="19">
        <f t="shared" si="23"/>
        <v>-0.245</v>
      </c>
      <c r="S24" s="623">
        <v>169</v>
      </c>
      <c r="T24" s="586">
        <f t="shared" si="12"/>
        <v>0.84499999999999997</v>
      </c>
      <c r="U24" s="623">
        <v>147</v>
      </c>
      <c r="V24" s="586">
        <f t="shared" si="13"/>
        <v>0.73499999999999999</v>
      </c>
      <c r="W24" s="623">
        <v>161</v>
      </c>
      <c r="X24" s="586">
        <f t="shared" si="14"/>
        <v>0.80500000000000005</v>
      </c>
      <c r="Y24" s="623">
        <v>189</v>
      </c>
      <c r="Z24" s="586">
        <f t="shared" si="15"/>
        <v>0.94499999999999995</v>
      </c>
    </row>
    <row r="25" spans="1:26" x14ac:dyDescent="0.25">
      <c r="A25" s="119" t="s">
        <v>172</v>
      </c>
      <c r="B25" s="117">
        <v>150</v>
      </c>
      <c r="C25" s="569">
        <v>22</v>
      </c>
      <c r="D25" s="586">
        <f t="shared" si="16"/>
        <v>-0.85333333333333328</v>
      </c>
      <c r="E25" s="569">
        <v>114</v>
      </c>
      <c r="F25" s="586">
        <f t="shared" si="17"/>
        <v>-0.24</v>
      </c>
      <c r="G25" s="118">
        <v>126</v>
      </c>
      <c r="H25" s="19">
        <f t="shared" si="18"/>
        <v>-0.16000000000000003</v>
      </c>
      <c r="I25" s="548">
        <v>93</v>
      </c>
      <c r="J25" s="19">
        <f t="shared" si="19"/>
        <v>-0.38</v>
      </c>
      <c r="K25" s="550">
        <v>81</v>
      </c>
      <c r="L25" s="19">
        <f t="shared" si="20"/>
        <v>-0.45999999999999996</v>
      </c>
      <c r="M25" s="550">
        <v>104</v>
      </c>
      <c r="N25" s="19">
        <f t="shared" ref="N25" si="25">((M25/$B25))-1</f>
        <v>-0.30666666666666664</v>
      </c>
      <c r="O25" s="553">
        <v>70</v>
      </c>
      <c r="P25" s="19">
        <f t="shared" si="22"/>
        <v>-0.53333333333333333</v>
      </c>
      <c r="Q25" s="553">
        <v>71</v>
      </c>
      <c r="R25" s="19">
        <f t="shared" si="23"/>
        <v>-0.52666666666666662</v>
      </c>
      <c r="S25" s="623"/>
      <c r="T25" s="586">
        <f t="shared" si="12"/>
        <v>0</v>
      </c>
      <c r="U25" s="623"/>
      <c r="V25" s="586">
        <f t="shared" si="13"/>
        <v>0</v>
      </c>
      <c r="W25" s="623"/>
      <c r="X25" s="586">
        <f t="shared" si="14"/>
        <v>0</v>
      </c>
      <c r="Y25" s="623"/>
      <c r="Z25" s="586">
        <f t="shared" si="15"/>
        <v>0</v>
      </c>
    </row>
    <row r="26" spans="1:26" x14ac:dyDescent="0.25">
      <c r="A26" s="119" t="s">
        <v>173</v>
      </c>
      <c r="B26" s="117">
        <v>500</v>
      </c>
      <c r="C26" s="569">
        <v>465</v>
      </c>
      <c r="D26" s="586">
        <f t="shared" si="16"/>
        <v>-6.9999999999999951E-2</v>
      </c>
      <c r="E26" s="569">
        <v>291</v>
      </c>
      <c r="F26" s="586">
        <f t="shared" si="17"/>
        <v>-0.41800000000000004</v>
      </c>
      <c r="G26" s="118">
        <v>613</v>
      </c>
      <c r="H26" s="19">
        <f t="shared" si="18"/>
        <v>0.22599999999999998</v>
      </c>
      <c r="I26" s="548">
        <v>480</v>
      </c>
      <c r="J26" s="19">
        <f t="shared" si="19"/>
        <v>-4.0000000000000036E-2</v>
      </c>
      <c r="K26" s="550">
        <v>471</v>
      </c>
      <c r="L26" s="19">
        <f t="shared" si="20"/>
        <v>-5.8000000000000052E-2</v>
      </c>
      <c r="M26" s="550">
        <v>398</v>
      </c>
      <c r="N26" s="19">
        <f t="shared" ref="N26" si="26">((M26/$B26))-1</f>
        <v>-0.20399999999999996</v>
      </c>
      <c r="O26" s="553">
        <v>561</v>
      </c>
      <c r="P26" s="19">
        <f t="shared" si="22"/>
        <v>0.12200000000000011</v>
      </c>
      <c r="Q26" s="553">
        <v>799</v>
      </c>
      <c r="R26" s="19">
        <f t="shared" si="23"/>
        <v>0.59800000000000009</v>
      </c>
      <c r="S26" s="623">
        <v>488</v>
      </c>
      <c r="T26" s="586">
        <f t="shared" si="12"/>
        <v>0.97599999999999998</v>
      </c>
      <c r="U26" s="623">
        <v>501</v>
      </c>
      <c r="V26" s="586">
        <f t="shared" si="13"/>
        <v>1.002</v>
      </c>
      <c r="W26" s="623">
        <v>615</v>
      </c>
      <c r="X26" s="586">
        <f t="shared" si="14"/>
        <v>1.23</v>
      </c>
      <c r="Y26" s="623">
        <v>374</v>
      </c>
      <c r="Z26" s="586">
        <f t="shared" si="15"/>
        <v>0.748</v>
      </c>
    </row>
    <row r="27" spans="1:26" x14ac:dyDescent="0.25">
      <c r="A27" s="120" t="s">
        <v>174</v>
      </c>
      <c r="B27" s="92">
        <v>300</v>
      </c>
      <c r="C27" s="589">
        <v>199</v>
      </c>
      <c r="D27" s="44">
        <f t="shared" si="16"/>
        <v>-0.33666666666666667</v>
      </c>
      <c r="E27" s="569">
        <v>243</v>
      </c>
      <c r="F27" s="44">
        <f t="shared" si="17"/>
        <v>-0.18999999999999995</v>
      </c>
      <c r="G27" s="93">
        <v>320</v>
      </c>
      <c r="H27" s="44">
        <f t="shared" si="18"/>
        <v>6.6666666666666652E-2</v>
      </c>
      <c r="I27" s="548">
        <v>325</v>
      </c>
      <c r="J27" s="44">
        <f t="shared" si="19"/>
        <v>8.3333333333333259E-2</v>
      </c>
      <c r="K27" s="550">
        <v>300</v>
      </c>
      <c r="L27" s="44">
        <f t="shared" si="20"/>
        <v>0</v>
      </c>
      <c r="M27" s="550">
        <v>290</v>
      </c>
      <c r="N27" s="44">
        <f t="shared" ref="N27" si="27">((M27/$B27))-1</f>
        <v>-3.3333333333333326E-2</v>
      </c>
      <c r="O27" s="553">
        <v>245</v>
      </c>
      <c r="P27" s="44">
        <f t="shared" si="22"/>
        <v>-0.18333333333333335</v>
      </c>
      <c r="Q27" s="553">
        <f>116+180</f>
        <v>296</v>
      </c>
      <c r="R27" s="44">
        <f t="shared" si="23"/>
        <v>-1.3333333333333308E-2</v>
      </c>
      <c r="S27" s="624">
        <v>199</v>
      </c>
      <c r="T27" s="44">
        <f t="shared" si="12"/>
        <v>0.66333333333333333</v>
      </c>
      <c r="U27" s="624">
        <v>106</v>
      </c>
      <c r="V27" s="44">
        <f t="shared" si="13"/>
        <v>0.35333333333333333</v>
      </c>
      <c r="W27" s="624">
        <v>230</v>
      </c>
      <c r="X27" s="44">
        <f t="shared" si="14"/>
        <v>0.76666666666666672</v>
      </c>
      <c r="Y27" s="624">
        <v>189</v>
      </c>
      <c r="Z27" s="44">
        <f t="shared" si="15"/>
        <v>0.63</v>
      </c>
    </row>
    <row r="28" spans="1:26" ht="15.75" thickBot="1" x14ac:dyDescent="0.3">
      <c r="A28" s="121" t="s">
        <v>175</v>
      </c>
      <c r="B28" s="122">
        <v>260</v>
      </c>
      <c r="C28" s="589">
        <v>217</v>
      </c>
      <c r="D28" s="590">
        <f t="shared" si="16"/>
        <v>-0.16538461538461535</v>
      </c>
      <c r="E28" s="569">
        <v>179</v>
      </c>
      <c r="F28" s="590">
        <f t="shared" si="17"/>
        <v>-0.31153846153846154</v>
      </c>
      <c r="G28" s="123">
        <v>187</v>
      </c>
      <c r="H28" s="124">
        <f t="shared" si="18"/>
        <v>-0.28076923076923077</v>
      </c>
      <c r="I28" s="548">
        <v>109</v>
      </c>
      <c r="J28" s="124">
        <f t="shared" si="19"/>
        <v>-0.5807692307692307</v>
      </c>
      <c r="K28" s="550">
        <v>187</v>
      </c>
      <c r="L28" s="124">
        <f t="shared" si="20"/>
        <v>-0.28076923076923077</v>
      </c>
      <c r="M28" s="550">
        <v>223</v>
      </c>
      <c r="N28" s="124">
        <f t="shared" ref="N28" si="28">((M28/$B28))-1</f>
        <v>-0.14230769230769236</v>
      </c>
      <c r="O28" s="553">
        <v>254</v>
      </c>
      <c r="P28" s="124">
        <f t="shared" si="22"/>
        <v>-2.3076923076923106E-2</v>
      </c>
      <c r="Q28" s="553">
        <v>194</v>
      </c>
      <c r="R28" s="124">
        <f t="shared" si="23"/>
        <v>-0.25384615384615383</v>
      </c>
      <c r="S28" s="617">
        <v>218</v>
      </c>
      <c r="T28" s="618">
        <f t="shared" si="12"/>
        <v>0.83846153846153848</v>
      </c>
      <c r="U28" s="617">
        <v>166</v>
      </c>
      <c r="V28" s="618">
        <f t="shared" si="13"/>
        <v>0.63846153846153841</v>
      </c>
      <c r="W28" s="617">
        <v>27</v>
      </c>
      <c r="X28" s="618">
        <f t="shared" si="14"/>
        <v>0.10384615384615385</v>
      </c>
      <c r="Y28" s="617">
        <v>261</v>
      </c>
      <c r="Z28" s="618">
        <f t="shared" si="15"/>
        <v>1.0038461538461538</v>
      </c>
    </row>
    <row r="29" spans="1:26" ht="15.75" thickBot="1" x14ac:dyDescent="0.3">
      <c r="A29" s="68" t="s">
        <v>7</v>
      </c>
      <c r="B29" s="72">
        <f>SUM(B22:B28)</f>
        <v>1670</v>
      </c>
      <c r="C29" s="76">
        <f>SUM(C22:C28)</f>
        <v>1306</v>
      </c>
      <c r="D29" s="77">
        <f t="shared" si="16"/>
        <v>-0.21796407185628741</v>
      </c>
      <c r="E29" s="76">
        <f>SUM(E22:E28)</f>
        <v>1138</v>
      </c>
      <c r="F29" s="77">
        <f>((E29/$B29))-1</f>
        <v>-0.31856287425149699</v>
      </c>
      <c r="G29" s="76">
        <f>SUM(G22:G28)</f>
        <v>1698</v>
      </c>
      <c r="H29" s="77">
        <f t="shared" si="18"/>
        <v>1.6766467065868262E-2</v>
      </c>
      <c r="I29" s="76">
        <f>SUM(I22:I28)</f>
        <v>1346</v>
      </c>
      <c r="J29" s="77">
        <f t="shared" si="19"/>
        <v>-0.19401197604790421</v>
      </c>
      <c r="K29" s="76">
        <f>SUM(K22:K28)</f>
        <v>1486</v>
      </c>
      <c r="L29" s="77">
        <f>((K29/$B29))-1</f>
        <v>-0.1101796407185629</v>
      </c>
      <c r="M29" s="76">
        <f>SUM(M22:M28)</f>
        <v>1412</v>
      </c>
      <c r="N29" s="77">
        <f>((M29/$B29))-1</f>
        <v>-0.15449101796407183</v>
      </c>
      <c r="O29" s="76">
        <f>SUM(O22:O28)</f>
        <v>1563</v>
      </c>
      <c r="P29" s="77">
        <f t="shared" si="22"/>
        <v>-6.4071856287425177E-2</v>
      </c>
      <c r="Q29" s="76">
        <f>SUM(Q22:Q28)</f>
        <v>1798</v>
      </c>
      <c r="R29" s="77">
        <f>((Q29/$B29))-1</f>
        <v>7.6646706586826374E-2</v>
      </c>
      <c r="S29" s="76">
        <f t="shared" ref="S29" si="29">SUM(S22:S28)</f>
        <v>1259</v>
      </c>
      <c r="T29" s="77">
        <f t="shared" ref="T29" si="30">((S29/$B29))-1</f>
        <v>-0.24610778443113768</v>
      </c>
      <c r="U29" s="76">
        <f t="shared" ref="U29" si="31">SUM(U22:U28)</f>
        <v>1148</v>
      </c>
      <c r="V29" s="77">
        <f t="shared" ref="V29" si="32">((U29/$B29))-1</f>
        <v>-0.31257485029940124</v>
      </c>
      <c r="W29" s="76">
        <f t="shared" ref="W29" si="33">SUM(W22:W28)</f>
        <v>1326</v>
      </c>
      <c r="X29" s="77">
        <f t="shared" ref="X29" si="34">((W29/$B29))-1</f>
        <v>-0.20598802395209581</v>
      </c>
      <c r="Y29" s="76">
        <f t="shared" ref="Y29" si="35">SUM(Y22:Y28)</f>
        <v>1286</v>
      </c>
      <c r="Z29" s="77">
        <f t="shared" ref="Z29" si="36">((Y29/$B29))-1</f>
        <v>-0.22994011976047901</v>
      </c>
    </row>
  </sheetData>
  <mergeCells count="4">
    <mergeCell ref="A2:Z2"/>
    <mergeCell ref="A3:Z3"/>
    <mergeCell ref="A20:Z20"/>
    <mergeCell ref="A5:Z5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R33"/>
  <sheetViews>
    <sheetView workbookViewId="0"/>
  </sheetViews>
  <sheetFormatPr defaultColWidth="8.85546875" defaultRowHeight="15" x14ac:dyDescent="0.25"/>
  <cols>
    <col min="1" max="1" width="28.7109375" customWidth="1"/>
    <col min="3" max="3" width="8" customWidth="1"/>
    <col min="4" max="4" width="8.28515625" customWidth="1"/>
    <col min="5" max="5" width="8" customWidth="1"/>
    <col min="6" max="8" width="8.28515625" customWidth="1"/>
    <col min="9" max="9" width="9.28515625" customWidth="1"/>
    <col min="11" max="11" width="8" customWidth="1"/>
    <col min="12" max="12" width="8.28515625" customWidth="1"/>
    <col min="13" max="13" width="7.7109375" customWidth="1"/>
    <col min="14" max="14" width="8.28515625" customWidth="1"/>
    <col min="15" max="15" width="7.5703125" customWidth="1"/>
    <col min="16" max="16" width="8.28515625" customWidth="1"/>
    <col min="17" max="17" width="9" customWidth="1"/>
  </cols>
  <sheetData>
    <row r="2" spans="1:18" ht="18" x14ac:dyDescent="0.35">
      <c r="A2" s="648" t="s">
        <v>332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</row>
    <row r="3" spans="1:18" ht="18" x14ac:dyDescent="0.35">
      <c r="A3" s="648" t="s">
        <v>331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</row>
    <row r="5" spans="1:18" ht="15.75" hidden="1" x14ac:dyDescent="0.25">
      <c r="A5" s="649" t="s">
        <v>336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</row>
    <row r="6" spans="1:18" ht="24.75" hidden="1" thickBot="1" x14ac:dyDescent="0.3">
      <c r="A6" s="125" t="s">
        <v>15</v>
      </c>
      <c r="B6" s="126" t="s">
        <v>16</v>
      </c>
      <c r="C6" s="127" t="s">
        <v>3</v>
      </c>
      <c r="D6" s="128" t="s">
        <v>1</v>
      </c>
      <c r="E6" s="127" t="s">
        <v>4</v>
      </c>
      <c r="F6" s="128" t="s">
        <v>1</v>
      </c>
      <c r="G6" s="127" t="s">
        <v>5</v>
      </c>
      <c r="H6" s="128" t="s">
        <v>1</v>
      </c>
      <c r="I6" s="129" t="s">
        <v>8</v>
      </c>
      <c r="J6" s="129" t="s">
        <v>1</v>
      </c>
      <c r="K6" s="127" t="s">
        <v>6</v>
      </c>
      <c r="L6" s="128" t="s">
        <v>1</v>
      </c>
      <c r="M6" s="127" t="s">
        <v>327</v>
      </c>
      <c r="N6" s="128" t="s">
        <v>1</v>
      </c>
      <c r="O6" s="127" t="s">
        <v>328</v>
      </c>
      <c r="P6" s="128" t="s">
        <v>1</v>
      </c>
      <c r="Q6" s="129" t="s">
        <v>325</v>
      </c>
      <c r="R6" s="129" t="s">
        <v>1</v>
      </c>
    </row>
    <row r="7" spans="1:18" hidden="1" x14ac:dyDescent="0.25">
      <c r="A7" s="78" t="s">
        <v>83</v>
      </c>
      <c r="B7" s="1">
        <v>20</v>
      </c>
      <c r="C7" s="2"/>
      <c r="D7" s="5">
        <f>((C7/$B7))-1</f>
        <v>-1</v>
      </c>
      <c r="E7" s="2"/>
      <c r="F7" s="5">
        <f>((E7/$B7))-1</f>
        <v>-1</v>
      </c>
      <c r="G7" s="2"/>
      <c r="H7" s="5">
        <f>((G7/$B7))-1</f>
        <v>-1</v>
      </c>
      <c r="I7" s="4">
        <f t="shared" ref="I7:I15" si="0">C7+E7+G7</f>
        <v>0</v>
      </c>
      <c r="J7" s="6">
        <f>((I7/(3*$B7)))-1</f>
        <v>-1</v>
      </c>
      <c r="K7" s="2"/>
      <c r="L7" s="5">
        <f>((K7/$B7))-1</f>
        <v>-1</v>
      </c>
      <c r="M7" s="2"/>
      <c r="N7" s="5">
        <f>((M7/$B7))-1</f>
        <v>-1</v>
      </c>
      <c r="O7" s="2"/>
      <c r="P7" s="5">
        <f>((O7/$B7))-1</f>
        <v>-1</v>
      </c>
      <c r="Q7" s="4">
        <f t="shared" ref="Q7:Q15" si="1">K7+M7+O7</f>
        <v>0</v>
      </c>
      <c r="R7" s="6">
        <f>((Q7/(3*$B7)))-1</f>
        <v>-1</v>
      </c>
    </row>
    <row r="8" spans="1:18" hidden="1" x14ac:dyDescent="0.25">
      <c r="A8" s="78" t="s">
        <v>84</v>
      </c>
      <c r="B8" s="131">
        <v>6</v>
      </c>
      <c r="C8" s="132"/>
      <c r="D8" s="5">
        <f t="shared" ref="D8:D15" si="2">((C8/$B8))-1</f>
        <v>-1</v>
      </c>
      <c r="E8" s="132"/>
      <c r="F8" s="5">
        <f t="shared" ref="F8:F15" si="3">((E8/$B8))-1</f>
        <v>-1</v>
      </c>
      <c r="G8" s="132"/>
      <c r="H8" s="5">
        <f t="shared" ref="H8:H15" si="4">((G8/$B8))-1</f>
        <v>-1</v>
      </c>
      <c r="I8" s="4">
        <f t="shared" si="0"/>
        <v>0</v>
      </c>
      <c r="J8" s="6">
        <f t="shared" ref="J8:J15" si="5">((I8/(3*$B8)))-1</f>
        <v>-1</v>
      </c>
      <c r="K8" s="132"/>
      <c r="L8" s="5">
        <f t="shared" ref="L8:L15" si="6">((K8/$B8))-1</f>
        <v>-1</v>
      </c>
      <c r="M8" s="132"/>
      <c r="N8" s="5">
        <f t="shared" ref="N8:N15" si="7">((M8/$B8))-1</f>
        <v>-1</v>
      </c>
      <c r="O8" s="132"/>
      <c r="P8" s="5">
        <f t="shared" ref="P8:P15" si="8">((O8/$B8))-1</f>
        <v>-1</v>
      </c>
      <c r="Q8" s="4">
        <f t="shared" si="1"/>
        <v>0</v>
      </c>
      <c r="R8" s="6">
        <f t="shared" ref="R8:R15" si="9">((Q8/(3*$B8)))-1</f>
        <v>-1</v>
      </c>
    </row>
    <row r="9" spans="1:18" hidden="1" x14ac:dyDescent="0.25">
      <c r="A9" s="78" t="s">
        <v>85</v>
      </c>
      <c r="B9" s="131">
        <v>14</v>
      </c>
      <c r="C9" s="132"/>
      <c r="D9" s="5">
        <f t="shared" si="2"/>
        <v>-1</v>
      </c>
      <c r="E9" s="132"/>
      <c r="F9" s="5">
        <f t="shared" si="3"/>
        <v>-1</v>
      </c>
      <c r="G9" s="132"/>
      <c r="H9" s="5">
        <f t="shared" si="4"/>
        <v>-1</v>
      </c>
      <c r="I9" s="4">
        <f t="shared" si="0"/>
        <v>0</v>
      </c>
      <c r="J9" s="6">
        <f t="shared" si="5"/>
        <v>-1</v>
      </c>
      <c r="K9" s="132"/>
      <c r="L9" s="5">
        <f t="shared" si="6"/>
        <v>-1</v>
      </c>
      <c r="M9" s="132"/>
      <c r="N9" s="5">
        <f t="shared" si="7"/>
        <v>-1</v>
      </c>
      <c r="O9" s="132"/>
      <c r="P9" s="5">
        <f t="shared" si="8"/>
        <v>-1</v>
      </c>
      <c r="Q9" s="4">
        <f t="shared" si="1"/>
        <v>0</v>
      </c>
      <c r="R9" s="6">
        <f t="shared" si="9"/>
        <v>-1</v>
      </c>
    </row>
    <row r="10" spans="1:18" hidden="1" x14ac:dyDescent="0.25">
      <c r="A10" s="78" t="s">
        <v>87</v>
      </c>
      <c r="B10" s="131">
        <v>1</v>
      </c>
      <c r="C10" s="132"/>
      <c r="D10" s="5">
        <f t="shared" si="2"/>
        <v>-1</v>
      </c>
      <c r="E10" s="132"/>
      <c r="F10" s="5">
        <f t="shared" si="3"/>
        <v>-1</v>
      </c>
      <c r="G10" s="132"/>
      <c r="H10" s="5">
        <f t="shared" si="4"/>
        <v>-1</v>
      </c>
      <c r="I10" s="4">
        <f t="shared" si="0"/>
        <v>0</v>
      </c>
      <c r="J10" s="6">
        <f t="shared" si="5"/>
        <v>-1</v>
      </c>
      <c r="K10" s="132"/>
      <c r="L10" s="5">
        <f t="shared" si="6"/>
        <v>-1</v>
      </c>
      <c r="M10" s="132"/>
      <c r="N10" s="5">
        <f t="shared" si="7"/>
        <v>-1</v>
      </c>
      <c r="O10" s="132"/>
      <c r="P10" s="5">
        <f t="shared" si="8"/>
        <v>-1</v>
      </c>
      <c r="Q10" s="4">
        <f t="shared" si="1"/>
        <v>0</v>
      </c>
      <c r="R10" s="6">
        <f t="shared" si="9"/>
        <v>-1</v>
      </c>
    </row>
    <row r="11" spans="1:18" hidden="1" x14ac:dyDescent="0.25">
      <c r="A11" s="130" t="s">
        <v>86</v>
      </c>
      <c r="B11" s="131">
        <v>7</v>
      </c>
      <c r="C11" s="132"/>
      <c r="D11" s="5">
        <f t="shared" si="2"/>
        <v>-1</v>
      </c>
      <c r="E11" s="132"/>
      <c r="F11" s="5">
        <f t="shared" si="3"/>
        <v>-1</v>
      </c>
      <c r="G11" s="132"/>
      <c r="H11" s="5">
        <f t="shared" si="4"/>
        <v>-1</v>
      </c>
      <c r="I11" s="4">
        <f t="shared" si="0"/>
        <v>0</v>
      </c>
      <c r="J11" s="6">
        <f t="shared" si="5"/>
        <v>-1</v>
      </c>
      <c r="K11" s="132"/>
      <c r="L11" s="5">
        <f t="shared" si="6"/>
        <v>-1</v>
      </c>
      <c r="M11" s="132"/>
      <c r="N11" s="5">
        <f t="shared" si="7"/>
        <v>-1</v>
      </c>
      <c r="O11" s="132"/>
      <c r="P11" s="5">
        <f t="shared" si="8"/>
        <v>-1</v>
      </c>
      <c r="Q11" s="4">
        <f t="shared" si="1"/>
        <v>0</v>
      </c>
      <c r="R11" s="6">
        <f t="shared" si="9"/>
        <v>-1</v>
      </c>
    </row>
    <row r="12" spans="1:18" hidden="1" x14ac:dyDescent="0.25">
      <c r="A12" s="130" t="s">
        <v>63</v>
      </c>
      <c r="B12" s="131">
        <v>14</v>
      </c>
      <c r="C12" s="132"/>
      <c r="D12" s="5">
        <f t="shared" si="2"/>
        <v>-1</v>
      </c>
      <c r="E12" s="132"/>
      <c r="F12" s="5">
        <f t="shared" si="3"/>
        <v>-1</v>
      </c>
      <c r="G12" s="132"/>
      <c r="H12" s="5">
        <f t="shared" si="4"/>
        <v>-1</v>
      </c>
      <c r="I12" s="4">
        <f t="shared" si="0"/>
        <v>0</v>
      </c>
      <c r="J12" s="6">
        <f t="shared" si="5"/>
        <v>-1</v>
      </c>
      <c r="K12" s="132"/>
      <c r="L12" s="5">
        <f t="shared" si="6"/>
        <v>-1</v>
      </c>
      <c r="M12" s="132"/>
      <c r="N12" s="5">
        <f t="shared" si="7"/>
        <v>-1</v>
      </c>
      <c r="O12" s="132"/>
      <c r="P12" s="5">
        <f t="shared" si="8"/>
        <v>-1</v>
      </c>
      <c r="Q12" s="4">
        <f t="shared" si="1"/>
        <v>0</v>
      </c>
      <c r="R12" s="6">
        <f t="shared" si="9"/>
        <v>-1</v>
      </c>
    </row>
    <row r="13" spans="1:18" hidden="1" x14ac:dyDescent="0.25">
      <c r="A13" s="134" t="s">
        <v>64</v>
      </c>
      <c r="B13" s="135">
        <v>14</v>
      </c>
      <c r="C13" s="136"/>
      <c r="D13" s="62">
        <f t="shared" si="2"/>
        <v>-1</v>
      </c>
      <c r="E13" s="136"/>
      <c r="F13" s="62">
        <f t="shared" si="3"/>
        <v>-1</v>
      </c>
      <c r="G13" s="136"/>
      <c r="H13" s="62">
        <f t="shared" si="4"/>
        <v>-1</v>
      </c>
      <c r="I13" s="4">
        <f t="shared" si="0"/>
        <v>0</v>
      </c>
      <c r="J13" s="397">
        <f t="shared" si="5"/>
        <v>-1</v>
      </c>
      <c r="K13" s="136"/>
      <c r="L13" s="62">
        <f t="shared" si="6"/>
        <v>-1</v>
      </c>
      <c r="M13" s="136"/>
      <c r="N13" s="394">
        <f t="shared" si="7"/>
        <v>-1</v>
      </c>
      <c r="O13" s="136"/>
      <c r="P13" s="394">
        <f t="shared" si="8"/>
        <v>-1</v>
      </c>
      <c r="Q13" s="4">
        <f t="shared" si="1"/>
        <v>0</v>
      </c>
      <c r="R13" s="397">
        <f t="shared" si="9"/>
        <v>-1</v>
      </c>
    </row>
    <row r="14" spans="1:18" ht="15.75" hidden="1" thickBot="1" x14ac:dyDescent="0.3">
      <c r="A14" s="142" t="s">
        <v>82</v>
      </c>
      <c r="B14" s="143">
        <v>1</v>
      </c>
      <c r="C14" s="144"/>
      <c r="D14" s="145">
        <f t="shared" si="2"/>
        <v>-1</v>
      </c>
      <c r="E14" s="144"/>
      <c r="F14" s="145">
        <f t="shared" si="3"/>
        <v>-1</v>
      </c>
      <c r="G14" s="144"/>
      <c r="H14" s="145">
        <f t="shared" si="4"/>
        <v>-1</v>
      </c>
      <c r="I14" s="63">
        <f t="shared" si="0"/>
        <v>0</v>
      </c>
      <c r="J14" s="392">
        <f t="shared" si="5"/>
        <v>-1</v>
      </c>
      <c r="K14" s="144"/>
      <c r="L14" s="145">
        <f t="shared" si="6"/>
        <v>-1</v>
      </c>
      <c r="M14" s="144"/>
      <c r="N14" s="145">
        <f t="shared" si="7"/>
        <v>-1</v>
      </c>
      <c r="O14" s="144"/>
      <c r="P14" s="145">
        <f t="shared" si="8"/>
        <v>-1</v>
      </c>
      <c r="Q14" s="396">
        <f t="shared" si="1"/>
        <v>0</v>
      </c>
      <c r="R14" s="392">
        <f t="shared" si="9"/>
        <v>-1</v>
      </c>
    </row>
    <row r="15" spans="1:18" ht="15.75" hidden="1" thickBot="1" x14ac:dyDescent="0.3">
      <c r="A15" s="68" t="s">
        <v>7</v>
      </c>
      <c r="B15" s="72">
        <f>SUM(B7:B14)</f>
        <v>77</v>
      </c>
      <c r="C15" s="76">
        <f>SUM(C7:C14)</f>
        <v>0</v>
      </c>
      <c r="D15" s="90">
        <f t="shared" si="2"/>
        <v>-1</v>
      </c>
      <c r="E15" s="76">
        <f>SUM(E7:E14)</f>
        <v>0</v>
      </c>
      <c r="F15" s="90">
        <f t="shared" si="3"/>
        <v>-1</v>
      </c>
      <c r="G15" s="76">
        <f>SUM(G7:G14)</f>
        <v>0</v>
      </c>
      <c r="H15" s="90">
        <f t="shared" si="4"/>
        <v>-1</v>
      </c>
      <c r="I15" s="75">
        <f t="shared" si="0"/>
        <v>0</v>
      </c>
      <c r="J15" s="398">
        <f t="shared" si="5"/>
        <v>-1</v>
      </c>
      <c r="K15" s="76">
        <f>SUM(K7:K14)</f>
        <v>0</v>
      </c>
      <c r="L15" s="90">
        <f t="shared" si="6"/>
        <v>-1</v>
      </c>
      <c r="M15" s="76">
        <f>SUM(M7:M14)</f>
        <v>0</v>
      </c>
      <c r="N15" s="90">
        <f t="shared" si="7"/>
        <v>-1</v>
      </c>
      <c r="O15" s="76">
        <f>SUM(O7:O14)</f>
        <v>0</v>
      </c>
      <c r="P15" s="90">
        <f t="shared" si="8"/>
        <v>-1</v>
      </c>
      <c r="Q15" s="75">
        <f t="shared" si="1"/>
        <v>0</v>
      </c>
      <c r="R15" s="398">
        <f t="shared" si="9"/>
        <v>-1</v>
      </c>
    </row>
    <row r="16" spans="1:18" hidden="1" x14ac:dyDescent="0.25"/>
    <row r="17" spans="1:18" ht="15.75" x14ac:dyDescent="0.25">
      <c r="A17" s="649" t="s">
        <v>336</v>
      </c>
      <c r="B17" s="650"/>
      <c r="C17" s="650"/>
      <c r="D17" s="650"/>
      <c r="E17" s="650"/>
      <c r="F17" s="650"/>
      <c r="G17" s="650"/>
      <c r="H17" s="650"/>
      <c r="I17" s="650"/>
      <c r="J17" s="650"/>
      <c r="K17" s="650"/>
      <c r="L17" s="650"/>
      <c r="M17" s="650"/>
      <c r="N17" s="650"/>
      <c r="O17" s="650"/>
      <c r="P17" s="650"/>
      <c r="Q17" s="650"/>
      <c r="R17" s="650"/>
    </row>
    <row r="18" spans="1:18" ht="24.75" thickBot="1" x14ac:dyDescent="0.3">
      <c r="A18" s="125" t="s">
        <v>15</v>
      </c>
      <c r="B18" s="126" t="s">
        <v>16</v>
      </c>
      <c r="C18" s="534" t="s">
        <v>349</v>
      </c>
      <c r="D18" s="535" t="s">
        <v>1</v>
      </c>
      <c r="E18" s="534" t="s">
        <v>350</v>
      </c>
      <c r="F18" s="535" t="s">
        <v>1</v>
      </c>
      <c r="G18" s="534" t="s">
        <v>351</v>
      </c>
      <c r="H18" s="535" t="s">
        <v>1</v>
      </c>
      <c r="I18" s="536" t="s">
        <v>352</v>
      </c>
      <c r="J18" s="536" t="s">
        <v>1</v>
      </c>
      <c r="K18" s="534" t="s">
        <v>353</v>
      </c>
      <c r="L18" s="535" t="s">
        <v>1</v>
      </c>
      <c r="M18" s="534" t="s">
        <v>354</v>
      </c>
      <c r="N18" s="535" t="s">
        <v>1</v>
      </c>
      <c r="O18" s="534" t="s">
        <v>2</v>
      </c>
      <c r="P18" s="535" t="s">
        <v>1</v>
      </c>
      <c r="Q18" s="536" t="s">
        <v>355</v>
      </c>
      <c r="R18" s="536" t="s">
        <v>1</v>
      </c>
    </row>
    <row r="19" spans="1:18" ht="15.75" thickTop="1" x14ac:dyDescent="0.25">
      <c r="A19" s="425" t="s">
        <v>338</v>
      </c>
      <c r="B19" s="429">
        <v>40</v>
      </c>
      <c r="C19" s="544">
        <v>30.5</v>
      </c>
      <c r="D19" s="5">
        <f>((C19/$B19))-1</f>
        <v>-0.23750000000000004</v>
      </c>
      <c r="E19" s="418">
        <v>33</v>
      </c>
      <c r="F19" s="5">
        <f>((E19/$B19))-1</f>
        <v>-0.17500000000000004</v>
      </c>
      <c r="G19" s="544">
        <v>34.5</v>
      </c>
      <c r="H19" s="5">
        <f>((G19/$B19))-1</f>
        <v>-0.13749999999999996</v>
      </c>
      <c r="I19" s="4">
        <f t="shared" ref="I19:I24" si="10">C19+E19+G19</f>
        <v>98</v>
      </c>
      <c r="J19" s="6">
        <f>((I19/(3*$B19)))-1</f>
        <v>-0.18333333333333335</v>
      </c>
      <c r="K19" s="418">
        <v>36</v>
      </c>
      <c r="L19" s="5">
        <f>((K19/$B19))-1</f>
        <v>-9.9999999999999978E-2</v>
      </c>
      <c r="M19" s="544">
        <v>38.5</v>
      </c>
      <c r="N19" s="5">
        <f>((M19/$B19))-1</f>
        <v>-3.7499999999999978E-2</v>
      </c>
      <c r="O19" s="544">
        <v>41.5</v>
      </c>
      <c r="P19" s="5">
        <f>((O19/$B19))-1</f>
        <v>3.7500000000000089E-2</v>
      </c>
      <c r="Q19" s="4">
        <f t="shared" ref="Q19:Q24" si="11">K19+M19+O19</f>
        <v>116</v>
      </c>
      <c r="R19" s="6">
        <f>((Q19/(3*$B19)))-1</f>
        <v>-3.3333333333333326E-2</v>
      </c>
    </row>
    <row r="20" spans="1:18" x14ac:dyDescent="0.25">
      <c r="A20" s="425" t="s">
        <v>339</v>
      </c>
      <c r="B20" s="265">
        <v>1</v>
      </c>
      <c r="C20" s="266">
        <v>1</v>
      </c>
      <c r="D20" s="5">
        <f t="shared" ref="D20:D24" si="12">((C20/$B20))-1</f>
        <v>0</v>
      </c>
      <c r="E20" s="545">
        <v>1</v>
      </c>
      <c r="F20" s="5">
        <f t="shared" ref="F20:F24" si="13">((E20/$B20))-1</f>
        <v>0</v>
      </c>
      <c r="G20" s="545">
        <v>1</v>
      </c>
      <c r="H20" s="5">
        <f t="shared" ref="H20:H24" si="14">((G20/$B20))-1</f>
        <v>0</v>
      </c>
      <c r="I20" s="4">
        <f t="shared" si="10"/>
        <v>3</v>
      </c>
      <c r="J20" s="6">
        <f t="shared" ref="J20:J24" si="15">((I20/(3*$B20)))-1</f>
        <v>0</v>
      </c>
      <c r="K20" s="545">
        <v>1</v>
      </c>
      <c r="L20" s="5">
        <f t="shared" ref="L20:L24" si="16">((K20/$B20))-1</f>
        <v>0</v>
      </c>
      <c r="M20" s="554">
        <v>1</v>
      </c>
      <c r="N20" s="5">
        <f t="shared" ref="N20:N24" si="17">((M20/$B20))-1</f>
        <v>0</v>
      </c>
      <c r="O20" s="554">
        <v>1</v>
      </c>
      <c r="P20" s="5">
        <f t="shared" ref="P20:P24" si="18">((O20/$B20))-1</f>
        <v>0</v>
      </c>
      <c r="Q20" s="4">
        <f t="shared" si="11"/>
        <v>3</v>
      </c>
      <c r="R20" s="6">
        <f t="shared" ref="R20:R24" si="19">((Q20/(3*$B20)))-1</f>
        <v>0</v>
      </c>
    </row>
    <row r="21" spans="1:18" x14ac:dyDescent="0.25">
      <c r="A21" s="426" t="s">
        <v>340</v>
      </c>
      <c r="B21" s="430">
        <v>14</v>
      </c>
      <c r="C21" s="266">
        <v>6</v>
      </c>
      <c r="D21" s="5">
        <f t="shared" si="12"/>
        <v>-0.5714285714285714</v>
      </c>
      <c r="E21" s="545">
        <v>6</v>
      </c>
      <c r="F21" s="5">
        <f t="shared" si="13"/>
        <v>-0.5714285714285714</v>
      </c>
      <c r="G21" s="545">
        <v>8</v>
      </c>
      <c r="H21" s="5">
        <f t="shared" si="14"/>
        <v>-0.4285714285714286</v>
      </c>
      <c r="I21" s="4">
        <f t="shared" si="10"/>
        <v>20</v>
      </c>
      <c r="J21" s="6">
        <f t="shared" si="15"/>
        <v>-0.52380952380952384</v>
      </c>
      <c r="K21" s="545">
        <v>8</v>
      </c>
      <c r="L21" s="5">
        <f t="shared" si="16"/>
        <v>-0.4285714285714286</v>
      </c>
      <c r="M21" s="554">
        <v>8</v>
      </c>
      <c r="N21" s="5">
        <f t="shared" si="17"/>
        <v>-0.4285714285714286</v>
      </c>
      <c r="O21" s="554">
        <v>8</v>
      </c>
      <c r="P21" s="5">
        <f t="shared" si="18"/>
        <v>-0.4285714285714286</v>
      </c>
      <c r="Q21" s="4">
        <f t="shared" si="11"/>
        <v>24</v>
      </c>
      <c r="R21" s="6">
        <f t="shared" si="19"/>
        <v>-0.4285714285714286</v>
      </c>
    </row>
    <row r="22" spans="1:18" x14ac:dyDescent="0.25">
      <c r="A22" s="427" t="s">
        <v>341</v>
      </c>
      <c r="B22" s="265">
        <v>28</v>
      </c>
      <c r="C22" s="419">
        <v>27.5</v>
      </c>
      <c r="D22" s="5">
        <f t="shared" si="12"/>
        <v>-1.7857142857142905E-2</v>
      </c>
      <c r="E22" s="549">
        <v>29.5</v>
      </c>
      <c r="F22" s="5">
        <f t="shared" si="13"/>
        <v>5.3571428571428603E-2</v>
      </c>
      <c r="G22" s="549">
        <v>28.5</v>
      </c>
      <c r="H22" s="5">
        <f t="shared" si="14"/>
        <v>1.7857142857142794E-2</v>
      </c>
      <c r="I22" s="4">
        <f t="shared" si="10"/>
        <v>85.5</v>
      </c>
      <c r="J22" s="6">
        <f t="shared" si="15"/>
        <v>1.7857142857142794E-2</v>
      </c>
      <c r="K22" s="545">
        <v>26</v>
      </c>
      <c r="L22" s="5">
        <f t="shared" si="16"/>
        <v>-7.1428571428571397E-2</v>
      </c>
      <c r="M22" s="554">
        <v>26</v>
      </c>
      <c r="N22" s="5">
        <f t="shared" si="17"/>
        <v>-7.1428571428571397E-2</v>
      </c>
      <c r="O22" s="554">
        <v>29</v>
      </c>
      <c r="P22" s="5">
        <f t="shared" si="18"/>
        <v>3.5714285714285809E-2</v>
      </c>
      <c r="Q22" s="4">
        <f t="shared" si="11"/>
        <v>81</v>
      </c>
      <c r="R22" s="6">
        <f t="shared" si="19"/>
        <v>-3.5714285714285698E-2</v>
      </c>
    </row>
    <row r="23" spans="1:18" ht="15.75" thickBot="1" x14ac:dyDescent="0.3">
      <c r="A23" s="428" t="s">
        <v>342</v>
      </c>
      <c r="B23" s="431">
        <v>1</v>
      </c>
      <c r="C23" s="421">
        <v>0</v>
      </c>
      <c r="D23" s="5">
        <f t="shared" si="12"/>
        <v>-1</v>
      </c>
      <c r="E23" s="546">
        <v>0</v>
      </c>
      <c r="F23" s="5">
        <f t="shared" si="13"/>
        <v>-1</v>
      </c>
      <c r="G23" s="546">
        <v>0</v>
      </c>
      <c r="H23" s="5">
        <f t="shared" si="14"/>
        <v>-1</v>
      </c>
      <c r="I23" s="4">
        <f t="shared" si="10"/>
        <v>0</v>
      </c>
      <c r="J23" s="6">
        <f t="shared" si="15"/>
        <v>-1</v>
      </c>
      <c r="K23" s="546">
        <v>0</v>
      </c>
      <c r="L23" s="5">
        <f t="shared" si="16"/>
        <v>-1</v>
      </c>
      <c r="M23" s="555">
        <v>0</v>
      </c>
      <c r="N23" s="5">
        <f t="shared" si="17"/>
        <v>-1</v>
      </c>
      <c r="O23" s="555">
        <v>0</v>
      </c>
      <c r="P23" s="5">
        <f t="shared" si="18"/>
        <v>-1</v>
      </c>
      <c r="Q23" s="4">
        <f t="shared" si="11"/>
        <v>0</v>
      </c>
      <c r="R23" s="6">
        <f t="shared" si="19"/>
        <v>-1</v>
      </c>
    </row>
    <row r="24" spans="1:18" ht="15.75" thickBot="1" x14ac:dyDescent="0.3">
      <c r="A24" s="68" t="s">
        <v>7</v>
      </c>
      <c r="B24" s="72">
        <f>SUM(B19:B23)</f>
        <v>84</v>
      </c>
      <c r="C24" s="76">
        <f>SUM(C19:C23)</f>
        <v>65</v>
      </c>
      <c r="D24" s="90">
        <f t="shared" si="12"/>
        <v>-0.22619047619047616</v>
      </c>
      <c r="E24" s="76">
        <f>SUM(E19:E23)</f>
        <v>69.5</v>
      </c>
      <c r="F24" s="90">
        <f t="shared" si="13"/>
        <v>-0.17261904761904767</v>
      </c>
      <c r="G24" s="76">
        <f>SUM(G19:G23)</f>
        <v>72</v>
      </c>
      <c r="H24" s="90">
        <f t="shared" si="14"/>
        <v>-0.1428571428571429</v>
      </c>
      <c r="I24" s="75">
        <f t="shared" si="10"/>
        <v>206.5</v>
      </c>
      <c r="J24" s="415">
        <f t="shared" si="15"/>
        <v>-0.18055555555555558</v>
      </c>
      <c r="K24" s="76">
        <f>SUM(K19:K23)</f>
        <v>71</v>
      </c>
      <c r="L24" s="90">
        <f t="shared" si="16"/>
        <v>-0.15476190476190477</v>
      </c>
      <c r="M24" s="76">
        <f>SUM(M19:M23)</f>
        <v>73.5</v>
      </c>
      <c r="N24" s="90">
        <f t="shared" si="17"/>
        <v>-0.125</v>
      </c>
      <c r="O24" s="76">
        <f>SUM(O19:O23)</f>
        <v>79.5</v>
      </c>
      <c r="P24" s="90">
        <f t="shared" si="18"/>
        <v>-5.3571428571428603E-2</v>
      </c>
      <c r="Q24" s="75">
        <f t="shared" si="11"/>
        <v>224</v>
      </c>
      <c r="R24" s="415">
        <f t="shared" si="19"/>
        <v>-0.11111111111111116</v>
      </c>
    </row>
    <row r="26" spans="1:18" x14ac:dyDescent="0.25">
      <c r="A26" s="662" t="s">
        <v>182</v>
      </c>
      <c r="B26" s="662"/>
      <c r="C26" s="662"/>
    </row>
    <row r="27" spans="1:18" x14ac:dyDescent="0.25">
      <c r="A27" s="31" t="s">
        <v>176</v>
      </c>
      <c r="B27" s="29"/>
      <c r="C27" s="30">
        <v>3</v>
      </c>
    </row>
    <row r="28" spans="1:18" x14ac:dyDescent="0.25">
      <c r="A28" s="31" t="s">
        <v>177</v>
      </c>
      <c r="B28" s="29"/>
      <c r="C28" s="30">
        <v>5</v>
      </c>
    </row>
    <row r="29" spans="1:18" x14ac:dyDescent="0.25">
      <c r="A29" s="31" t="s">
        <v>178</v>
      </c>
      <c r="B29" s="29"/>
      <c r="C29" s="30">
        <v>12</v>
      </c>
    </row>
    <row r="30" spans="1:18" x14ac:dyDescent="0.25">
      <c r="A30" s="32" t="s">
        <v>179</v>
      </c>
      <c r="B30" s="29"/>
      <c r="C30" s="30">
        <v>1</v>
      </c>
    </row>
    <row r="31" spans="1:18" x14ac:dyDescent="0.25">
      <c r="A31" s="31" t="s">
        <v>180</v>
      </c>
      <c r="B31" s="29"/>
      <c r="C31" s="30">
        <v>3</v>
      </c>
    </row>
    <row r="32" spans="1:18" x14ac:dyDescent="0.25">
      <c r="A32" s="31" t="s">
        <v>181</v>
      </c>
      <c r="B32" s="29"/>
      <c r="C32" s="30">
        <v>9</v>
      </c>
    </row>
    <row r="33" spans="3:3" x14ac:dyDescent="0.25">
      <c r="C33" s="28"/>
    </row>
  </sheetData>
  <mergeCells count="5">
    <mergeCell ref="A26:C26"/>
    <mergeCell ref="A5:R5"/>
    <mergeCell ref="A2:R2"/>
    <mergeCell ref="A3:R3"/>
    <mergeCell ref="A17:R17"/>
  </mergeCells>
  <pageMargins left="0.51181102362204722" right="0.51181102362204722" top="0.78740157480314965" bottom="0.78740157480314965" header="0.31496062992125984" footer="0.31496062992125984"/>
  <pageSetup paperSize="9" scale="79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R13"/>
  <sheetViews>
    <sheetView workbookViewId="0"/>
  </sheetViews>
  <sheetFormatPr defaultColWidth="8.85546875" defaultRowHeight="15" x14ac:dyDescent="0.25"/>
  <cols>
    <col min="1" max="1" width="27.7109375" customWidth="1"/>
    <col min="4" max="4" width="8" customWidth="1"/>
    <col min="6" max="6" width="8" customWidth="1"/>
    <col min="8" max="8" width="8" customWidth="1"/>
    <col min="9" max="9" width="9" customWidth="1"/>
    <col min="10" max="10" width="8.140625" customWidth="1"/>
    <col min="12" max="12" width="8" customWidth="1"/>
    <col min="14" max="14" width="8" customWidth="1"/>
    <col min="16" max="16" width="8" customWidth="1"/>
    <col min="17" max="17" width="10.28515625" customWidth="1"/>
  </cols>
  <sheetData>
    <row r="2" spans="1:18" ht="18" x14ac:dyDescent="0.35">
      <c r="A2" s="648" t="s">
        <v>332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</row>
    <row r="3" spans="1:18" ht="18" x14ac:dyDescent="0.35">
      <c r="A3" s="648" t="s">
        <v>331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</row>
    <row r="5" spans="1:18" ht="15.75" x14ac:dyDescent="0.25">
      <c r="A5" s="649" t="s">
        <v>333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</row>
    <row r="6" spans="1:18" ht="24.75" thickBot="1" x14ac:dyDescent="0.3">
      <c r="A6" s="147" t="s">
        <v>15</v>
      </c>
      <c r="B6" s="148" t="s">
        <v>16</v>
      </c>
      <c r="C6" s="534" t="s">
        <v>349</v>
      </c>
      <c r="D6" s="535" t="s">
        <v>1</v>
      </c>
      <c r="E6" s="534" t="s">
        <v>350</v>
      </c>
      <c r="F6" s="535" t="s">
        <v>1</v>
      </c>
      <c r="G6" s="534" t="s">
        <v>351</v>
      </c>
      <c r="H6" s="535" t="s">
        <v>1</v>
      </c>
      <c r="I6" s="536" t="s">
        <v>352</v>
      </c>
      <c r="J6" s="536" t="s">
        <v>1</v>
      </c>
      <c r="K6" s="534" t="s">
        <v>353</v>
      </c>
      <c r="L6" s="535" t="s">
        <v>1</v>
      </c>
      <c r="M6" s="534" t="s">
        <v>354</v>
      </c>
      <c r="N6" s="535" t="s">
        <v>1</v>
      </c>
      <c r="O6" s="534" t="s">
        <v>2</v>
      </c>
      <c r="P6" s="535" t="s">
        <v>1</v>
      </c>
      <c r="Q6" s="536" t="s">
        <v>355</v>
      </c>
      <c r="R6" s="536" t="s">
        <v>1</v>
      </c>
    </row>
    <row r="7" spans="1:18" ht="15.75" thickTop="1" x14ac:dyDescent="0.25">
      <c r="A7" s="425" t="s">
        <v>343</v>
      </c>
      <c r="B7" s="1">
        <v>20</v>
      </c>
      <c r="C7" s="418">
        <v>10</v>
      </c>
      <c r="D7" s="5">
        <f>((C7/$B7))-1</f>
        <v>-0.5</v>
      </c>
      <c r="E7" s="418">
        <v>12</v>
      </c>
      <c r="F7" s="5">
        <f>((E7/$B7))-1</f>
        <v>-0.4</v>
      </c>
      <c r="G7" s="418">
        <v>11</v>
      </c>
      <c r="H7" s="5">
        <f>((G7/$B7))-1</f>
        <v>-0.44999999999999996</v>
      </c>
      <c r="I7" s="4">
        <f>C7+E7+G7</f>
        <v>33</v>
      </c>
      <c r="J7" s="6">
        <f>((I7/(3*$B7)))-1</f>
        <v>-0.44999999999999996</v>
      </c>
      <c r="K7" s="418">
        <v>14</v>
      </c>
      <c r="L7" s="5">
        <f>((K7/$B7))-1</f>
        <v>-0.30000000000000004</v>
      </c>
      <c r="M7" s="418">
        <v>14</v>
      </c>
      <c r="N7" s="5">
        <f>((M7/$B7))-1</f>
        <v>-0.30000000000000004</v>
      </c>
      <c r="O7" s="418">
        <v>17</v>
      </c>
      <c r="P7" s="5">
        <f>((O7/$B7))-1</f>
        <v>-0.15000000000000002</v>
      </c>
      <c r="Q7" s="4">
        <f>K7+M7+O7</f>
        <v>45</v>
      </c>
      <c r="R7" s="6">
        <f>((Q7/(3*$B7)))-1</f>
        <v>-0.25</v>
      </c>
    </row>
    <row r="8" spans="1:18" ht="15.75" thickBot="1" x14ac:dyDescent="0.3">
      <c r="A8" s="428" t="s">
        <v>341</v>
      </c>
      <c r="B8" s="149">
        <v>12</v>
      </c>
      <c r="C8" s="421">
        <v>3</v>
      </c>
      <c r="D8" s="62">
        <f t="shared" ref="D8:D9" si="0">((C8/$B8))-1</f>
        <v>-0.75</v>
      </c>
      <c r="E8" s="546">
        <v>7</v>
      </c>
      <c r="F8" s="62">
        <f t="shared" ref="F8:F9" si="1">((E8/$B8))-1</f>
        <v>-0.41666666666666663</v>
      </c>
      <c r="G8" s="421">
        <v>5</v>
      </c>
      <c r="H8" s="62">
        <f t="shared" ref="H8:H9" si="2">((G8/$B8))-1</f>
        <v>-0.58333333333333326</v>
      </c>
      <c r="I8" s="4">
        <f>C8+E8+G8</f>
        <v>15</v>
      </c>
      <c r="J8" s="6">
        <f t="shared" ref="J8" si="3">((I8/(3*$B8)))-1</f>
        <v>-0.58333333333333326</v>
      </c>
      <c r="K8" s="421">
        <v>9</v>
      </c>
      <c r="L8" s="62">
        <f t="shared" ref="L8:L9" si="4">((K8/$B8))-1</f>
        <v>-0.25</v>
      </c>
      <c r="M8" s="555">
        <v>7</v>
      </c>
      <c r="N8" s="394">
        <f t="shared" ref="N8:N9" si="5">((M8/$B8))-1</f>
        <v>-0.41666666666666663</v>
      </c>
      <c r="O8" s="555">
        <v>4</v>
      </c>
      <c r="P8" s="394">
        <f t="shared" ref="P8:P9" si="6">((O8/$B8))-1</f>
        <v>-0.66666666666666674</v>
      </c>
      <c r="Q8" s="4">
        <f>K8+M8+O8</f>
        <v>20</v>
      </c>
      <c r="R8" s="6">
        <f t="shared" ref="R8" si="7">((Q8/(3*$B8)))-1</f>
        <v>-0.44444444444444442</v>
      </c>
    </row>
    <row r="9" spans="1:18" ht="15.75" thickBot="1" x14ac:dyDescent="0.3">
      <c r="A9" s="68" t="s">
        <v>7</v>
      </c>
      <c r="B9" s="72">
        <f>SUM(B7:B8)</f>
        <v>32</v>
      </c>
      <c r="C9" s="76">
        <f>SUM(C7:C8)</f>
        <v>13</v>
      </c>
      <c r="D9" s="90">
        <f t="shared" si="0"/>
        <v>-0.59375</v>
      </c>
      <c r="E9" s="76">
        <f>SUM(E7:E8)</f>
        <v>19</v>
      </c>
      <c r="F9" s="90">
        <f t="shared" si="1"/>
        <v>-0.40625</v>
      </c>
      <c r="G9" s="76">
        <f>SUM(G7:G8)</f>
        <v>16</v>
      </c>
      <c r="H9" s="90">
        <f t="shared" si="2"/>
        <v>-0.5</v>
      </c>
      <c r="I9" s="75">
        <f>C9+E9+G9</f>
        <v>48</v>
      </c>
      <c r="J9" s="91">
        <f>((I9/(3*$B9)))-1</f>
        <v>-0.5</v>
      </c>
      <c r="K9" s="76">
        <f>SUM(K7:K8)</f>
        <v>23</v>
      </c>
      <c r="L9" s="90">
        <f t="shared" si="4"/>
        <v>-0.28125</v>
      </c>
      <c r="M9" s="76">
        <f>SUM(M7:M8)</f>
        <v>21</v>
      </c>
      <c r="N9" s="90">
        <f t="shared" si="5"/>
        <v>-0.34375</v>
      </c>
      <c r="O9" s="76">
        <f>SUM(O7:O8)</f>
        <v>21</v>
      </c>
      <c r="P9" s="90">
        <f t="shared" si="6"/>
        <v>-0.34375</v>
      </c>
      <c r="Q9" s="75">
        <f>K9+M9+O9</f>
        <v>65</v>
      </c>
      <c r="R9" s="91">
        <f>((Q9/(3*$B9)))-1</f>
        <v>-0.32291666666666663</v>
      </c>
    </row>
    <row r="13" spans="1:18" x14ac:dyDescent="0.25">
      <c r="L13" s="65" t="s">
        <v>295</v>
      </c>
    </row>
  </sheetData>
  <mergeCells count="3">
    <mergeCell ref="A5:R5"/>
    <mergeCell ref="A2:R2"/>
    <mergeCell ref="A3:R3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R9"/>
  <sheetViews>
    <sheetView workbookViewId="0"/>
  </sheetViews>
  <sheetFormatPr defaultColWidth="8.85546875" defaultRowHeight="15" x14ac:dyDescent="0.25"/>
  <cols>
    <col min="1" max="1" width="37.5703125" customWidth="1"/>
    <col min="5" max="5" width="8.7109375" customWidth="1"/>
    <col min="6" max="6" width="8.140625" bestFit="1" customWidth="1"/>
    <col min="9" max="9" width="9.140625" customWidth="1"/>
    <col min="13" max="13" width="8.140625" customWidth="1"/>
    <col min="17" max="17" width="9" customWidth="1"/>
  </cols>
  <sheetData>
    <row r="2" spans="1:18" ht="18" x14ac:dyDescent="0.35">
      <c r="A2" s="648" t="s">
        <v>332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</row>
    <row r="3" spans="1:18" ht="18" x14ac:dyDescent="0.35">
      <c r="A3" s="648" t="s">
        <v>331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</row>
    <row r="5" spans="1:18" ht="15.75" x14ac:dyDescent="0.25">
      <c r="A5" s="649" t="s">
        <v>334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</row>
    <row r="6" spans="1:18" ht="24.75" thickBot="1" x14ac:dyDescent="0.3">
      <c r="A6" s="147" t="s">
        <v>15</v>
      </c>
      <c r="B6" s="148" t="s">
        <v>16</v>
      </c>
      <c r="C6" s="534" t="s">
        <v>349</v>
      </c>
      <c r="D6" s="535" t="s">
        <v>1</v>
      </c>
      <c r="E6" s="534" t="s">
        <v>350</v>
      </c>
      <c r="F6" s="535" t="s">
        <v>1</v>
      </c>
      <c r="G6" s="534" t="s">
        <v>351</v>
      </c>
      <c r="H6" s="535" t="s">
        <v>1</v>
      </c>
      <c r="I6" s="536" t="s">
        <v>352</v>
      </c>
      <c r="J6" s="536" t="s">
        <v>1</v>
      </c>
      <c r="K6" s="534" t="s">
        <v>353</v>
      </c>
      <c r="L6" s="535" t="s">
        <v>1</v>
      </c>
      <c r="M6" s="534" t="s">
        <v>354</v>
      </c>
      <c r="N6" s="535" t="s">
        <v>1</v>
      </c>
      <c r="O6" s="534" t="s">
        <v>2</v>
      </c>
      <c r="P6" s="535" t="s">
        <v>1</v>
      </c>
      <c r="Q6" s="536" t="s">
        <v>355</v>
      </c>
      <c r="R6" s="536" t="s">
        <v>1</v>
      </c>
    </row>
    <row r="7" spans="1:18" ht="15.75" thickTop="1" x14ac:dyDescent="0.25">
      <c r="A7" s="67" t="s">
        <v>65</v>
      </c>
      <c r="B7" s="43">
        <v>18</v>
      </c>
      <c r="C7" s="418">
        <v>9</v>
      </c>
      <c r="D7" s="62">
        <f>((C7/$B7))-1</f>
        <v>-0.5</v>
      </c>
      <c r="E7" s="418">
        <v>10</v>
      </c>
      <c r="F7" s="62">
        <f>((E7/$B7))-1</f>
        <v>-0.44444444444444442</v>
      </c>
      <c r="G7" s="418">
        <v>9</v>
      </c>
      <c r="H7" s="62">
        <f>((G7/$B7))-1</f>
        <v>-0.5</v>
      </c>
      <c r="I7" s="4">
        <f>C7+E7+G7</f>
        <v>28</v>
      </c>
      <c r="J7" s="64">
        <f>((I7/(3*$B7)))-1</f>
        <v>-0.48148148148148151</v>
      </c>
      <c r="K7" s="418">
        <v>11</v>
      </c>
      <c r="L7" s="62">
        <f>((K7/$B7))-1</f>
        <v>-0.38888888888888884</v>
      </c>
      <c r="M7" s="418">
        <v>11</v>
      </c>
      <c r="N7" s="394">
        <f>((M7/$B7))-1</f>
        <v>-0.38888888888888884</v>
      </c>
      <c r="O7" s="418">
        <v>13</v>
      </c>
      <c r="P7" s="394">
        <f>((O7/$B7))-1</f>
        <v>-0.27777777777777779</v>
      </c>
      <c r="Q7" s="4">
        <f>K7+M7+O7</f>
        <v>35</v>
      </c>
      <c r="R7" s="397">
        <f>((Q7/(3*$B7)))-1</f>
        <v>-0.35185185185185186</v>
      </c>
    </row>
    <row r="8" spans="1:18" ht="15.75" thickBot="1" x14ac:dyDescent="0.3">
      <c r="A8" s="142" t="s">
        <v>66</v>
      </c>
      <c r="B8" s="143">
        <v>12</v>
      </c>
      <c r="C8" s="421">
        <v>6</v>
      </c>
      <c r="D8" s="145">
        <f t="shared" ref="D8:D9" si="0">((C8/$B8))-1</f>
        <v>-0.5</v>
      </c>
      <c r="E8" s="546">
        <v>6</v>
      </c>
      <c r="F8" s="145">
        <f t="shared" ref="F8:F9" si="1">((E8/$B8))-1</f>
        <v>-0.5</v>
      </c>
      <c r="G8" s="421">
        <v>5</v>
      </c>
      <c r="H8" s="145">
        <f t="shared" ref="H8:H9" si="2">((G8/$B8))-1</f>
        <v>-0.58333333333333326</v>
      </c>
      <c r="I8" s="63">
        <f>C8+E8+G8</f>
        <v>17</v>
      </c>
      <c r="J8" s="146">
        <f>((I8/(3*$B8)))-1</f>
        <v>-0.52777777777777779</v>
      </c>
      <c r="K8" s="421">
        <v>5</v>
      </c>
      <c r="L8" s="145">
        <f t="shared" ref="L8:L9" si="3">((K8/$B8))-1</f>
        <v>-0.58333333333333326</v>
      </c>
      <c r="M8" s="555">
        <v>5</v>
      </c>
      <c r="N8" s="145">
        <f t="shared" ref="N8:N9" si="4">((M8/$B8))-1</f>
        <v>-0.58333333333333326</v>
      </c>
      <c r="O8" s="555">
        <v>5</v>
      </c>
      <c r="P8" s="145">
        <f t="shared" ref="P8:P9" si="5">((O8/$B8))-1</f>
        <v>-0.58333333333333326</v>
      </c>
      <c r="Q8" s="396">
        <f>K8+M8+O8</f>
        <v>15</v>
      </c>
      <c r="R8" s="146">
        <f>((Q8/(3*$B8)))-1</f>
        <v>-0.58333333333333326</v>
      </c>
    </row>
    <row r="9" spans="1:18" ht="15.75" thickBot="1" x14ac:dyDescent="0.3">
      <c r="A9" s="68" t="s">
        <v>7</v>
      </c>
      <c r="B9" s="72">
        <f>SUM(B7:B8)</f>
        <v>30</v>
      </c>
      <c r="C9" s="76">
        <f>SUM(C7:C8)</f>
        <v>15</v>
      </c>
      <c r="D9" s="90">
        <f t="shared" si="0"/>
        <v>-0.5</v>
      </c>
      <c r="E9" s="76">
        <f>SUM(E7:E8)</f>
        <v>16</v>
      </c>
      <c r="F9" s="90">
        <f t="shared" si="1"/>
        <v>-0.46666666666666667</v>
      </c>
      <c r="G9" s="76">
        <f>SUM(G7:G8)</f>
        <v>14</v>
      </c>
      <c r="H9" s="90">
        <f t="shared" si="2"/>
        <v>-0.53333333333333333</v>
      </c>
      <c r="I9" s="75">
        <f>C9+E9+G9</f>
        <v>45</v>
      </c>
      <c r="J9" s="91">
        <f>((I9/(3*$B9)))-1</f>
        <v>-0.5</v>
      </c>
      <c r="K9" s="76">
        <f>SUM(K7:K8)</f>
        <v>16</v>
      </c>
      <c r="L9" s="90">
        <f t="shared" si="3"/>
        <v>-0.46666666666666667</v>
      </c>
      <c r="M9" s="76">
        <f>SUM(M7:M8)</f>
        <v>16</v>
      </c>
      <c r="N9" s="90">
        <f t="shared" si="4"/>
        <v>-0.46666666666666667</v>
      </c>
      <c r="O9" s="76">
        <f>SUM(O7:O8)</f>
        <v>18</v>
      </c>
      <c r="P9" s="90">
        <f t="shared" si="5"/>
        <v>-0.4</v>
      </c>
      <c r="Q9" s="75">
        <f>K9+M9+O9</f>
        <v>50</v>
      </c>
      <c r="R9" s="91">
        <f>((Q9/(3*$B9)))-1</f>
        <v>-0.44444444444444442</v>
      </c>
    </row>
  </sheetData>
  <mergeCells count="3">
    <mergeCell ref="A5:R5"/>
    <mergeCell ref="A2:R2"/>
    <mergeCell ref="A3:R3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R9"/>
  <sheetViews>
    <sheetView workbookViewId="0"/>
  </sheetViews>
  <sheetFormatPr defaultColWidth="8.85546875" defaultRowHeight="15" x14ac:dyDescent="0.25"/>
  <cols>
    <col min="1" max="1" width="33.7109375" customWidth="1"/>
    <col min="6" max="6" width="8.140625" bestFit="1" customWidth="1"/>
    <col min="9" max="9" width="9.85546875" customWidth="1"/>
    <col min="17" max="17" width="9.140625" customWidth="1"/>
  </cols>
  <sheetData>
    <row r="2" spans="1:18" ht="18" x14ac:dyDescent="0.35">
      <c r="A2" s="648" t="s">
        <v>332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</row>
    <row r="3" spans="1:18" ht="18" x14ac:dyDescent="0.35">
      <c r="A3" s="648" t="s">
        <v>331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</row>
    <row r="5" spans="1:18" ht="15.75" x14ac:dyDescent="0.25">
      <c r="A5" s="649" t="s">
        <v>335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</row>
    <row r="6" spans="1:18" ht="24.75" thickBot="1" x14ac:dyDescent="0.3">
      <c r="A6" s="147" t="s">
        <v>15</v>
      </c>
      <c r="B6" s="148" t="s">
        <v>16</v>
      </c>
      <c r="C6" s="534" t="s">
        <v>349</v>
      </c>
      <c r="D6" s="535" t="s">
        <v>1</v>
      </c>
      <c r="E6" s="534" t="s">
        <v>350</v>
      </c>
      <c r="F6" s="535" t="s">
        <v>1</v>
      </c>
      <c r="G6" s="534" t="s">
        <v>351</v>
      </c>
      <c r="H6" s="535" t="s">
        <v>1</v>
      </c>
      <c r="I6" s="536" t="s">
        <v>352</v>
      </c>
      <c r="J6" s="536" t="s">
        <v>1</v>
      </c>
      <c r="K6" s="534" t="s">
        <v>353</v>
      </c>
      <c r="L6" s="535" t="s">
        <v>1</v>
      </c>
      <c r="M6" s="534" t="s">
        <v>354</v>
      </c>
      <c r="N6" s="535" t="s">
        <v>1</v>
      </c>
      <c r="O6" s="534" t="s">
        <v>2</v>
      </c>
      <c r="P6" s="535" t="s">
        <v>1</v>
      </c>
      <c r="Q6" s="536" t="s">
        <v>355</v>
      </c>
      <c r="R6" s="536" t="s">
        <v>1</v>
      </c>
    </row>
    <row r="7" spans="1:18" ht="15.75" thickTop="1" x14ac:dyDescent="0.25">
      <c r="A7" s="67" t="s">
        <v>65</v>
      </c>
      <c r="B7" s="43">
        <v>18</v>
      </c>
      <c r="C7" s="544">
        <v>13.8</v>
      </c>
      <c r="D7" s="62">
        <f>((C7/$B7))-1</f>
        <v>-0.23333333333333328</v>
      </c>
      <c r="E7" s="544">
        <v>12.8</v>
      </c>
      <c r="F7" s="62">
        <f>((E7/$B7))-1</f>
        <v>-0.28888888888888886</v>
      </c>
      <c r="G7" s="544">
        <v>12.8</v>
      </c>
      <c r="H7" s="62">
        <f>((G7/$B7))-1</f>
        <v>-0.28888888888888886</v>
      </c>
      <c r="I7" s="4">
        <f>C7+E7+G7</f>
        <v>39.400000000000006</v>
      </c>
      <c r="J7" s="64">
        <f>((I7/(3*$B7)))-1</f>
        <v>-0.27037037037037026</v>
      </c>
      <c r="K7" s="418">
        <v>14</v>
      </c>
      <c r="L7" s="62">
        <f>((K7/$B7))-1</f>
        <v>-0.22222222222222221</v>
      </c>
      <c r="M7" s="418">
        <v>16</v>
      </c>
      <c r="N7" s="394">
        <f>((M7/$B7))-1</f>
        <v>-0.11111111111111116</v>
      </c>
      <c r="O7" s="418">
        <v>16</v>
      </c>
      <c r="P7" s="394">
        <f>((O7/$B7))-1</f>
        <v>-0.11111111111111116</v>
      </c>
      <c r="Q7" s="4">
        <f>K7+M7+O7</f>
        <v>46</v>
      </c>
      <c r="R7" s="397">
        <f>((Q7/(3*$B7)))-1</f>
        <v>-0.14814814814814814</v>
      </c>
    </row>
    <row r="8" spans="1:18" ht="15.75" thickBot="1" x14ac:dyDescent="0.3">
      <c r="A8" s="142" t="s">
        <v>66</v>
      </c>
      <c r="B8" s="143">
        <v>12</v>
      </c>
      <c r="C8" s="421">
        <v>3</v>
      </c>
      <c r="D8" s="145">
        <f t="shared" ref="D8:D9" si="0">((C8/$B8))-1</f>
        <v>-0.75</v>
      </c>
      <c r="E8" s="546">
        <v>3</v>
      </c>
      <c r="F8" s="145">
        <f t="shared" ref="F8:F9" si="1">((E8/$B8))-1</f>
        <v>-0.75</v>
      </c>
      <c r="G8" s="421">
        <v>3</v>
      </c>
      <c r="H8" s="145">
        <f t="shared" ref="H8:H9" si="2">((G8/$B8))-1</f>
        <v>-0.75</v>
      </c>
      <c r="I8" s="63">
        <f>C8+E8+G8</f>
        <v>9</v>
      </c>
      <c r="J8" s="146">
        <f>((I8/(3*$B8)))-1</f>
        <v>-0.75</v>
      </c>
      <c r="K8" s="421">
        <v>4</v>
      </c>
      <c r="L8" s="145">
        <f t="shared" ref="L8:L9" si="3">((K8/$B8))-1</f>
        <v>-0.66666666666666674</v>
      </c>
      <c r="M8" s="555">
        <v>4</v>
      </c>
      <c r="N8" s="145">
        <f t="shared" ref="N8:N9" si="4">((M8/$B8))-1</f>
        <v>-0.66666666666666674</v>
      </c>
      <c r="O8" s="555">
        <v>5</v>
      </c>
      <c r="P8" s="145">
        <f t="shared" ref="P8:P9" si="5">((O8/$B8))-1</f>
        <v>-0.58333333333333326</v>
      </c>
      <c r="Q8" s="396">
        <f>K8+M8+O8</f>
        <v>13</v>
      </c>
      <c r="R8" s="146">
        <f>((Q8/(3*$B8)))-1</f>
        <v>-0.63888888888888884</v>
      </c>
    </row>
    <row r="9" spans="1:18" ht="15.75" thickBot="1" x14ac:dyDescent="0.3">
      <c r="A9" s="68" t="s">
        <v>7</v>
      </c>
      <c r="B9" s="72">
        <f>SUM(B7:B8)</f>
        <v>30</v>
      </c>
      <c r="C9" s="76">
        <f>SUM(C7:C8)</f>
        <v>16.8</v>
      </c>
      <c r="D9" s="90">
        <f t="shared" si="0"/>
        <v>-0.43999999999999995</v>
      </c>
      <c r="E9" s="76">
        <f>SUM(E7:E8)</f>
        <v>15.8</v>
      </c>
      <c r="F9" s="90">
        <f t="shared" si="1"/>
        <v>-0.47333333333333327</v>
      </c>
      <c r="G9" s="76">
        <f>SUM(G7:G8)</f>
        <v>15.8</v>
      </c>
      <c r="H9" s="90">
        <f t="shared" si="2"/>
        <v>-0.47333333333333327</v>
      </c>
      <c r="I9" s="75">
        <f>C9+E9+G9</f>
        <v>48.400000000000006</v>
      </c>
      <c r="J9" s="91">
        <f>((I9/(3*$B9)))-1</f>
        <v>-0.4622222222222222</v>
      </c>
      <c r="K9" s="76">
        <f>SUM(K7:K8)</f>
        <v>18</v>
      </c>
      <c r="L9" s="90">
        <f t="shared" si="3"/>
        <v>-0.4</v>
      </c>
      <c r="M9" s="76">
        <f>SUM(M7:M8)</f>
        <v>20</v>
      </c>
      <c r="N9" s="90">
        <f t="shared" si="4"/>
        <v>-0.33333333333333337</v>
      </c>
      <c r="O9" s="76">
        <f>SUM(O7:O8)</f>
        <v>21</v>
      </c>
      <c r="P9" s="90">
        <f t="shared" si="5"/>
        <v>-0.30000000000000004</v>
      </c>
      <c r="Q9" s="75">
        <f>K9+M9+O9</f>
        <v>59</v>
      </c>
      <c r="R9" s="91">
        <f>((Q9/(3*$B9)))-1</f>
        <v>-0.34444444444444444</v>
      </c>
    </row>
  </sheetData>
  <mergeCells count="3">
    <mergeCell ref="A2:R2"/>
    <mergeCell ref="A3:R3"/>
    <mergeCell ref="A5:R5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7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RowHeight="15" x14ac:dyDescent="0.25"/>
  <cols>
    <col min="1" max="1" width="11" bestFit="1" customWidth="1"/>
    <col min="2" max="2" width="41" customWidth="1"/>
    <col min="3" max="3" width="13.140625" style="28" customWidth="1"/>
    <col min="4" max="5" width="8.140625" style="28" customWidth="1"/>
    <col min="6" max="6" width="7.7109375" style="28" customWidth="1"/>
    <col min="7" max="7" width="8.5703125" style="28" customWidth="1"/>
    <col min="8" max="9" width="9.140625" style="28" customWidth="1"/>
    <col min="10" max="10" width="10" style="445" customWidth="1"/>
    <col min="11" max="11" width="9.140625" style="445"/>
    <col min="12" max="12" width="7.5703125" style="28" bestFit="1" customWidth="1"/>
    <col min="13" max="17" width="9.140625" style="28"/>
    <col min="18" max="18" width="11.7109375" style="445" customWidth="1"/>
    <col min="19" max="19" width="9.140625" style="445"/>
  </cols>
  <sheetData>
    <row r="1" spans="1:19" ht="18" x14ac:dyDescent="0.35">
      <c r="A1" s="661" t="s">
        <v>332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</row>
    <row r="2" spans="1:19" ht="18" x14ac:dyDescent="0.35">
      <c r="A2" s="648" t="s">
        <v>331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</row>
    <row r="3" spans="1:19" ht="15.75" x14ac:dyDescent="0.25">
      <c r="B3" s="674" t="s">
        <v>185</v>
      </c>
      <c r="C3" s="674" t="s">
        <v>184</v>
      </c>
      <c r="D3" s="669">
        <v>2016</v>
      </c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70"/>
    </row>
    <row r="4" spans="1:19" ht="47.25" x14ac:dyDescent="0.25">
      <c r="A4" t="s">
        <v>183</v>
      </c>
      <c r="B4" s="674"/>
      <c r="C4" s="674"/>
      <c r="D4" s="399">
        <v>42430</v>
      </c>
      <c r="E4" s="537" t="s">
        <v>266</v>
      </c>
      <c r="F4" s="399">
        <v>42461</v>
      </c>
      <c r="G4" s="537" t="s">
        <v>266</v>
      </c>
      <c r="H4" s="399">
        <v>42491</v>
      </c>
      <c r="I4" s="537" t="s">
        <v>266</v>
      </c>
      <c r="J4" s="400" t="s">
        <v>352</v>
      </c>
      <c r="K4" s="400" t="s">
        <v>266</v>
      </c>
      <c r="L4" s="399">
        <v>42522</v>
      </c>
      <c r="M4" s="537" t="s">
        <v>266</v>
      </c>
      <c r="N4" s="399">
        <v>42552</v>
      </c>
      <c r="O4" s="537" t="s">
        <v>266</v>
      </c>
      <c r="P4" s="399">
        <v>42583</v>
      </c>
      <c r="Q4" s="537" t="s">
        <v>266</v>
      </c>
      <c r="R4" s="400" t="s">
        <v>355</v>
      </c>
      <c r="S4" s="400" t="s">
        <v>266</v>
      </c>
    </row>
    <row r="5" spans="1:19" x14ac:dyDescent="0.25">
      <c r="A5" s="34" t="s">
        <v>186</v>
      </c>
      <c r="B5" s="671" t="s">
        <v>187</v>
      </c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3"/>
    </row>
    <row r="6" spans="1:19" ht="15" customHeight="1" x14ac:dyDescent="0.25">
      <c r="A6" s="35">
        <v>4</v>
      </c>
      <c r="B6" s="401" t="s">
        <v>188</v>
      </c>
      <c r="C6" s="432">
        <v>460</v>
      </c>
      <c r="D6" s="433">
        <f>'AMA E ISOLINA MAZZEI'!G7</f>
        <v>555</v>
      </c>
      <c r="E6" s="402">
        <f>((D6/$C6))-1</f>
        <v>0.20652173913043481</v>
      </c>
      <c r="F6" s="433">
        <f>'AMA E ISOLINA MAZZEI'!I7</f>
        <v>486</v>
      </c>
      <c r="G6" s="402">
        <f>((F6/$C6))-1</f>
        <v>5.6521739130434678E-2</v>
      </c>
      <c r="H6" s="433">
        <f>'AMA E ISOLINA MAZZEI'!K7</f>
        <v>567</v>
      </c>
      <c r="I6" s="402">
        <f>((H6/$C6))-1</f>
        <v>0.23260869565217401</v>
      </c>
      <c r="J6" s="440" t="e">
        <f>'AMA E ISOLINA MAZZEI'!#REF!</f>
        <v>#REF!</v>
      </c>
      <c r="K6" s="441" t="e">
        <f>((J6/($C6*3)))-1</f>
        <v>#REF!</v>
      </c>
      <c r="L6" s="433" t="e">
        <f>'AMA E ISOLINA MAZZEI'!#REF!</f>
        <v>#REF!</v>
      </c>
      <c r="M6" s="402" t="e">
        <f>((L6/$C6))-1</f>
        <v>#REF!</v>
      </c>
      <c r="N6" s="433">
        <f>'AMA E ISOLINA MAZZEI'!O7</f>
        <v>575</v>
      </c>
      <c r="O6" s="402">
        <f>((N6/$C6))-1</f>
        <v>0.25</v>
      </c>
      <c r="P6" s="433">
        <f>'AMA E ISOLINA MAZZEI'!Q7</f>
        <v>470</v>
      </c>
      <c r="Q6" s="402">
        <f t="shared" ref="Q6:Q15" si="0">((P6/$C6))-1</f>
        <v>2.1739130434782705E-2</v>
      </c>
      <c r="R6" s="440" t="e">
        <f>'AMA E ISOLINA MAZZEI'!#REF!</f>
        <v>#REF!</v>
      </c>
      <c r="S6" s="441" t="e">
        <f>((R6/($C6*3)))-1</f>
        <v>#REF!</v>
      </c>
    </row>
    <row r="7" spans="1:19" ht="15" customHeight="1" x14ac:dyDescent="0.25">
      <c r="A7" s="35">
        <v>6</v>
      </c>
      <c r="B7" s="401" t="s">
        <v>189</v>
      </c>
      <c r="C7" s="432">
        <v>690</v>
      </c>
      <c r="D7" s="433">
        <f>'AMA E ISOLINA MAZZEI'!G8</f>
        <v>790</v>
      </c>
      <c r="E7" s="402">
        <f t="shared" ref="E7:E15" si="1">((D7/$C7))-1</f>
        <v>0.14492753623188404</v>
      </c>
      <c r="F7" s="433">
        <f>'AMA E ISOLINA MAZZEI'!I8</f>
        <v>794</v>
      </c>
      <c r="G7" s="402">
        <f t="shared" ref="G7:G15" si="2">((F7/$C7))-1</f>
        <v>0.15072463768115951</v>
      </c>
      <c r="H7" s="433">
        <f>'AMA E ISOLINA MAZZEI'!K8</f>
        <v>571</v>
      </c>
      <c r="I7" s="402">
        <f t="shared" ref="I7:I15" si="3">((H7/$C7))-1</f>
        <v>-0.172463768115942</v>
      </c>
      <c r="J7" s="440" t="e">
        <f>'AMA E ISOLINA MAZZEI'!#REF!</f>
        <v>#REF!</v>
      </c>
      <c r="K7" s="441" t="e">
        <f t="shared" ref="K7:K51" si="4">((J7/($C7*3)))-1</f>
        <v>#REF!</v>
      </c>
      <c r="L7" s="433" t="e">
        <f>'AMA E ISOLINA MAZZEI'!#REF!</f>
        <v>#REF!</v>
      </c>
      <c r="M7" s="402" t="e">
        <f t="shared" ref="M7:M15" si="5">((L7/$C7))-1</f>
        <v>#REF!</v>
      </c>
      <c r="N7" s="433">
        <f>'AMA E ISOLINA MAZZEI'!O8</f>
        <v>617</v>
      </c>
      <c r="O7" s="402">
        <f t="shared" ref="O7:O15" si="6">((N7/$C7))-1</f>
        <v>-0.10579710144927534</v>
      </c>
      <c r="P7" s="433">
        <f>'AMA E ISOLINA MAZZEI'!Q8</f>
        <v>829</v>
      </c>
      <c r="Q7" s="402">
        <f t="shared" si="0"/>
        <v>0.20144927536231894</v>
      </c>
      <c r="R7" s="440" t="e">
        <f>'AMA E ISOLINA MAZZEI'!#REF!</f>
        <v>#REF!</v>
      </c>
      <c r="S7" s="441" t="e">
        <f t="shared" ref="S7:S15" si="7">((R7/($C7*3)))-1</f>
        <v>#REF!</v>
      </c>
    </row>
    <row r="8" spans="1:19" ht="15" customHeight="1" x14ac:dyDescent="0.25">
      <c r="A8" s="35">
        <v>5</v>
      </c>
      <c r="B8" s="401" t="s">
        <v>191</v>
      </c>
      <c r="C8" s="432">
        <v>575</v>
      </c>
      <c r="D8" s="433">
        <f>'AMA E ISOLINA MAZZEI'!G9</f>
        <v>676</v>
      </c>
      <c r="E8" s="402">
        <f t="shared" si="1"/>
        <v>0.17565217391304344</v>
      </c>
      <c r="F8" s="433">
        <f>'AMA E ISOLINA MAZZEI'!I9</f>
        <v>579</v>
      </c>
      <c r="G8" s="402">
        <f t="shared" si="2"/>
        <v>6.9565217391305278E-3</v>
      </c>
      <c r="H8" s="433">
        <f>'AMA E ISOLINA MAZZEI'!K9</f>
        <v>660</v>
      </c>
      <c r="I8" s="402">
        <f t="shared" si="3"/>
        <v>0.14782608695652177</v>
      </c>
      <c r="J8" s="440" t="e">
        <f>'AMA E ISOLINA MAZZEI'!#REF!</f>
        <v>#REF!</v>
      </c>
      <c r="K8" s="441" t="e">
        <f t="shared" si="4"/>
        <v>#REF!</v>
      </c>
      <c r="L8" s="433" t="e">
        <f>'AMA E ISOLINA MAZZEI'!#REF!</f>
        <v>#REF!</v>
      </c>
      <c r="M8" s="402" t="e">
        <f t="shared" si="5"/>
        <v>#REF!</v>
      </c>
      <c r="N8" s="433">
        <f>'AMA E ISOLINA MAZZEI'!O9</f>
        <v>583</v>
      </c>
      <c r="O8" s="402">
        <f t="shared" si="6"/>
        <v>1.3913043478260834E-2</v>
      </c>
      <c r="P8" s="433">
        <f>'AMA E ISOLINA MAZZEI'!Q9</f>
        <v>327</v>
      </c>
      <c r="Q8" s="402">
        <f t="shared" si="0"/>
        <v>-0.43130434782608695</v>
      </c>
      <c r="R8" s="440" t="e">
        <f>'AMA E ISOLINA MAZZEI'!#REF!</f>
        <v>#REF!</v>
      </c>
      <c r="S8" s="441" t="e">
        <f t="shared" si="7"/>
        <v>#REF!</v>
      </c>
    </row>
    <row r="9" spans="1:19" ht="15" customHeight="1" x14ac:dyDescent="0.25">
      <c r="A9" s="35">
        <v>6</v>
      </c>
      <c r="B9" s="401" t="s">
        <v>193</v>
      </c>
      <c r="C9" s="432">
        <v>690</v>
      </c>
      <c r="D9" s="433">
        <f>'AMA E ISOLINA MAZZEI'!G10</f>
        <v>498</v>
      </c>
      <c r="E9" s="402">
        <f t="shared" si="1"/>
        <v>-0.27826086956521734</v>
      </c>
      <c r="F9" s="433">
        <f>'AMA E ISOLINA MAZZEI'!I10</f>
        <v>531</v>
      </c>
      <c r="G9" s="402">
        <f t="shared" si="2"/>
        <v>-0.23043478260869565</v>
      </c>
      <c r="H9" s="433">
        <f>'AMA E ISOLINA MAZZEI'!K10</f>
        <v>531</v>
      </c>
      <c r="I9" s="402">
        <f t="shared" si="3"/>
        <v>-0.23043478260869565</v>
      </c>
      <c r="J9" s="440" t="e">
        <f>'AMA E ISOLINA MAZZEI'!#REF!</f>
        <v>#REF!</v>
      </c>
      <c r="K9" s="441" t="e">
        <f t="shared" si="4"/>
        <v>#REF!</v>
      </c>
      <c r="L9" s="433" t="e">
        <f>'AMA E ISOLINA MAZZEI'!#REF!</f>
        <v>#REF!</v>
      </c>
      <c r="M9" s="402" t="e">
        <f t="shared" si="5"/>
        <v>#REF!</v>
      </c>
      <c r="N9" s="433">
        <f>'AMA E ISOLINA MAZZEI'!O10</f>
        <v>442</v>
      </c>
      <c r="O9" s="402">
        <f t="shared" si="6"/>
        <v>-0.35942028985507246</v>
      </c>
      <c r="P9" s="433">
        <f>'AMA E ISOLINA MAZZEI'!Q10</f>
        <v>467</v>
      </c>
      <c r="Q9" s="402">
        <f t="shared" si="0"/>
        <v>-0.3231884057971014</v>
      </c>
      <c r="R9" s="440" t="e">
        <f>'AMA E ISOLINA MAZZEI'!#REF!</f>
        <v>#REF!</v>
      </c>
      <c r="S9" s="441" t="e">
        <f t="shared" si="7"/>
        <v>#REF!</v>
      </c>
    </row>
    <row r="10" spans="1:19" ht="15" customHeight="1" x14ac:dyDescent="0.25">
      <c r="A10" s="35">
        <v>6</v>
      </c>
      <c r="B10" s="401" t="s">
        <v>194</v>
      </c>
      <c r="C10" s="432">
        <v>690</v>
      </c>
      <c r="D10" s="433">
        <f>'AMA E ISOLINA MAZZEI'!G11</f>
        <v>688</v>
      </c>
      <c r="E10" s="402">
        <f t="shared" si="1"/>
        <v>-2.8985507246376274E-3</v>
      </c>
      <c r="F10" s="433">
        <f>'AMA E ISOLINA MAZZEI'!I11</f>
        <v>669</v>
      </c>
      <c r="G10" s="402">
        <f t="shared" si="2"/>
        <v>-3.0434782608695699E-2</v>
      </c>
      <c r="H10" s="433">
        <f>'AMA E ISOLINA MAZZEI'!K11</f>
        <v>573</v>
      </c>
      <c r="I10" s="402">
        <f t="shared" si="3"/>
        <v>-0.16956521739130437</v>
      </c>
      <c r="J10" s="440" t="e">
        <f>'AMA E ISOLINA MAZZEI'!#REF!</f>
        <v>#REF!</v>
      </c>
      <c r="K10" s="441" t="e">
        <f t="shared" si="4"/>
        <v>#REF!</v>
      </c>
      <c r="L10" s="433" t="e">
        <f>'AMA E ISOLINA MAZZEI'!#REF!</f>
        <v>#REF!</v>
      </c>
      <c r="M10" s="402" t="e">
        <f t="shared" si="5"/>
        <v>#REF!</v>
      </c>
      <c r="N10" s="433">
        <f>'AMA E ISOLINA MAZZEI'!O11</f>
        <v>571</v>
      </c>
      <c r="O10" s="402">
        <f t="shared" si="6"/>
        <v>-0.172463768115942</v>
      </c>
      <c r="P10" s="433">
        <f>'AMA E ISOLINA MAZZEI'!Q11</f>
        <v>677</v>
      </c>
      <c r="Q10" s="402">
        <f t="shared" si="0"/>
        <v>-1.8840579710144967E-2</v>
      </c>
      <c r="R10" s="440" t="e">
        <f>'AMA E ISOLINA MAZZEI'!#REF!</f>
        <v>#REF!</v>
      </c>
      <c r="S10" s="441" t="e">
        <f t="shared" si="7"/>
        <v>#REF!</v>
      </c>
    </row>
    <row r="11" spans="1:19" ht="15" customHeight="1" x14ac:dyDescent="0.25">
      <c r="A11" s="35">
        <v>4</v>
      </c>
      <c r="B11" s="370" t="s">
        <v>196</v>
      </c>
      <c r="C11" s="432">
        <v>460</v>
      </c>
      <c r="D11" s="433">
        <f>'AMA E ISOLINA MAZZEI'!G12</f>
        <v>0</v>
      </c>
      <c r="E11" s="402">
        <f t="shared" si="1"/>
        <v>-1</v>
      </c>
      <c r="F11" s="433">
        <f>'AMA E ISOLINA MAZZEI'!I12</f>
        <v>0</v>
      </c>
      <c r="G11" s="402">
        <f t="shared" si="2"/>
        <v>-1</v>
      </c>
      <c r="H11" s="433">
        <f>'AMA E ISOLINA MAZZEI'!K12</f>
        <v>0</v>
      </c>
      <c r="I11" s="402">
        <f t="shared" si="3"/>
        <v>-1</v>
      </c>
      <c r="J11" s="440" t="e">
        <f>'AMA E ISOLINA MAZZEI'!#REF!</f>
        <v>#REF!</v>
      </c>
      <c r="K11" s="441" t="e">
        <f t="shared" si="4"/>
        <v>#REF!</v>
      </c>
      <c r="L11" s="433" t="e">
        <f>'AMA E ISOLINA MAZZEI'!#REF!</f>
        <v>#REF!</v>
      </c>
      <c r="M11" s="402" t="e">
        <f t="shared" si="5"/>
        <v>#REF!</v>
      </c>
      <c r="N11" s="433">
        <f>'AMA E ISOLINA MAZZEI'!O12</f>
        <v>0</v>
      </c>
      <c r="O11" s="402">
        <f t="shared" si="6"/>
        <v>-1</v>
      </c>
      <c r="P11" s="433">
        <f>'AMA E ISOLINA MAZZEI'!Q12</f>
        <v>77</v>
      </c>
      <c r="Q11" s="402">
        <f t="shared" si="0"/>
        <v>-0.83260869565217388</v>
      </c>
      <c r="R11" s="440" t="e">
        <f>'AMA E ISOLINA MAZZEI'!#REF!</f>
        <v>#REF!</v>
      </c>
      <c r="S11" s="441" t="e">
        <f t="shared" si="7"/>
        <v>#REF!</v>
      </c>
    </row>
    <row r="12" spans="1:19" ht="15" customHeight="1" x14ac:dyDescent="0.25">
      <c r="A12" s="35">
        <v>5</v>
      </c>
      <c r="B12" s="401" t="s">
        <v>197</v>
      </c>
      <c r="C12" s="432">
        <v>575</v>
      </c>
      <c r="D12" s="433">
        <f>'AMA E ISOLINA MAZZEI'!G13</f>
        <v>570</v>
      </c>
      <c r="E12" s="402">
        <f t="shared" si="1"/>
        <v>-8.6956521739129933E-3</v>
      </c>
      <c r="F12" s="433">
        <f>'AMA E ISOLINA MAZZEI'!I13</f>
        <v>455</v>
      </c>
      <c r="G12" s="402">
        <f t="shared" si="2"/>
        <v>-0.20869565217391306</v>
      </c>
      <c r="H12" s="433">
        <f>'AMA E ISOLINA MAZZEI'!K13</f>
        <v>559</v>
      </c>
      <c r="I12" s="402">
        <f t="shared" si="3"/>
        <v>-2.7826086956521778E-2</v>
      </c>
      <c r="J12" s="440" t="e">
        <f>'AMA E ISOLINA MAZZEI'!#REF!</f>
        <v>#REF!</v>
      </c>
      <c r="K12" s="441" t="e">
        <f t="shared" si="4"/>
        <v>#REF!</v>
      </c>
      <c r="L12" s="433" t="e">
        <f>'AMA E ISOLINA MAZZEI'!#REF!</f>
        <v>#REF!</v>
      </c>
      <c r="M12" s="402" t="e">
        <f t="shared" si="5"/>
        <v>#REF!</v>
      </c>
      <c r="N12" s="433">
        <f>'AMA E ISOLINA MAZZEI'!O13</f>
        <v>301</v>
      </c>
      <c r="O12" s="402">
        <f t="shared" si="6"/>
        <v>-0.47652173913043483</v>
      </c>
      <c r="P12" s="433">
        <f>'AMA E ISOLINA MAZZEI'!Q13</f>
        <v>620</v>
      </c>
      <c r="Q12" s="402">
        <f t="shared" si="0"/>
        <v>7.8260869565217384E-2</v>
      </c>
      <c r="R12" s="440" t="e">
        <f>'AMA E ISOLINA MAZZEI'!#REF!</f>
        <v>#REF!</v>
      </c>
      <c r="S12" s="441" t="e">
        <f t="shared" si="7"/>
        <v>#REF!</v>
      </c>
    </row>
    <row r="13" spans="1:19" ht="15" customHeight="1" x14ac:dyDescent="0.25">
      <c r="A13" s="35">
        <v>3</v>
      </c>
      <c r="B13" s="401" t="s">
        <v>190</v>
      </c>
      <c r="C13" s="432">
        <v>345</v>
      </c>
      <c r="D13" s="433">
        <f>'AMA E ISOLINA MAZZEI'!G14</f>
        <v>351</v>
      </c>
      <c r="E13" s="402">
        <f t="shared" si="1"/>
        <v>1.7391304347825987E-2</v>
      </c>
      <c r="F13" s="433">
        <f>'AMA E ISOLINA MAZZEI'!I14</f>
        <v>362</v>
      </c>
      <c r="G13" s="402">
        <f t="shared" si="2"/>
        <v>4.9275362318840665E-2</v>
      </c>
      <c r="H13" s="433">
        <f>'AMA E ISOLINA MAZZEI'!K14</f>
        <v>331</v>
      </c>
      <c r="I13" s="402">
        <f t="shared" si="3"/>
        <v>-4.0579710144927561E-2</v>
      </c>
      <c r="J13" s="440" t="e">
        <f>'AMA E ISOLINA MAZZEI'!#REF!</f>
        <v>#REF!</v>
      </c>
      <c r="K13" s="441" t="e">
        <f t="shared" si="4"/>
        <v>#REF!</v>
      </c>
      <c r="L13" s="433" t="e">
        <f>'AMA E ISOLINA MAZZEI'!#REF!</f>
        <v>#REF!</v>
      </c>
      <c r="M13" s="402" t="e">
        <f t="shared" si="5"/>
        <v>#REF!</v>
      </c>
      <c r="N13" s="433">
        <f>'AMA E ISOLINA MAZZEI'!O14</f>
        <v>249</v>
      </c>
      <c r="O13" s="402">
        <f t="shared" si="6"/>
        <v>-0.27826086956521734</v>
      </c>
      <c r="P13" s="433">
        <f>'AMA E ISOLINA MAZZEI'!Q14</f>
        <v>322</v>
      </c>
      <c r="Q13" s="402">
        <f t="shared" si="0"/>
        <v>-6.6666666666666652E-2</v>
      </c>
      <c r="R13" s="440" t="e">
        <f>'AMA E ISOLINA MAZZEI'!#REF!</f>
        <v>#REF!</v>
      </c>
      <c r="S13" s="441" t="e">
        <f t="shared" si="7"/>
        <v>#REF!</v>
      </c>
    </row>
    <row r="14" spans="1:19" ht="15" customHeight="1" x14ac:dyDescent="0.25">
      <c r="A14" s="35">
        <v>2</v>
      </c>
      <c r="B14" s="401" t="s">
        <v>192</v>
      </c>
      <c r="C14" s="432">
        <v>230</v>
      </c>
      <c r="D14" s="433">
        <f>'AMA E ISOLINA MAZZEI'!G15</f>
        <v>187</v>
      </c>
      <c r="E14" s="402">
        <f t="shared" si="1"/>
        <v>-0.18695652173913047</v>
      </c>
      <c r="F14" s="433">
        <f>'AMA E ISOLINA MAZZEI'!I15</f>
        <v>92</v>
      </c>
      <c r="G14" s="402">
        <f t="shared" si="2"/>
        <v>-0.6</v>
      </c>
      <c r="H14" s="433">
        <f>'AMA E ISOLINA MAZZEI'!K15</f>
        <v>145</v>
      </c>
      <c r="I14" s="402">
        <f t="shared" si="3"/>
        <v>-0.36956521739130432</v>
      </c>
      <c r="J14" s="440" t="e">
        <f>'AMA E ISOLINA MAZZEI'!#REF!</f>
        <v>#REF!</v>
      </c>
      <c r="K14" s="441" t="e">
        <f t="shared" si="4"/>
        <v>#REF!</v>
      </c>
      <c r="L14" s="433">
        <f>'AMA E ISOLINA MAZZEI'!M19</f>
        <v>0</v>
      </c>
      <c r="M14" s="402">
        <f t="shared" si="5"/>
        <v>-1</v>
      </c>
      <c r="N14" s="433">
        <f>'AMA E ISOLINA MAZZEI'!O15</f>
        <v>94</v>
      </c>
      <c r="O14" s="402">
        <f t="shared" si="6"/>
        <v>-0.59130434782608687</v>
      </c>
      <c r="P14" s="433">
        <f>'AMA E ISOLINA MAZZEI'!Q15</f>
        <v>182</v>
      </c>
      <c r="Q14" s="402">
        <f t="shared" si="0"/>
        <v>-0.20869565217391306</v>
      </c>
      <c r="R14" s="440" t="e">
        <f>'AMA E ISOLINA MAZZEI'!#REF!</f>
        <v>#REF!</v>
      </c>
      <c r="S14" s="441" t="e">
        <f t="shared" si="7"/>
        <v>#REF!</v>
      </c>
    </row>
    <row r="15" spans="1:19" ht="15" customHeight="1" x14ac:dyDescent="0.25">
      <c r="A15" s="35">
        <v>1</v>
      </c>
      <c r="B15" s="370" t="s">
        <v>195</v>
      </c>
      <c r="C15" s="432">
        <v>115</v>
      </c>
      <c r="D15" s="433">
        <f>'AMA E ISOLINA MAZZEI'!G16</f>
        <v>123</v>
      </c>
      <c r="E15" s="402">
        <f t="shared" si="1"/>
        <v>6.956521739130439E-2</v>
      </c>
      <c r="F15" s="433">
        <f>'AMA E ISOLINA MAZZEI'!I16</f>
        <v>115</v>
      </c>
      <c r="G15" s="402">
        <f t="shared" si="2"/>
        <v>0</v>
      </c>
      <c r="H15" s="433">
        <f>'AMA E ISOLINA MAZZEI'!K16</f>
        <v>143</v>
      </c>
      <c r="I15" s="402">
        <f t="shared" si="3"/>
        <v>0.24347826086956514</v>
      </c>
      <c r="J15" s="440" t="e">
        <f>'AMA E ISOLINA MAZZEI'!#REF!</f>
        <v>#REF!</v>
      </c>
      <c r="K15" s="441" t="e">
        <f t="shared" si="4"/>
        <v>#REF!</v>
      </c>
      <c r="L15" s="433">
        <f>'AMA E ISOLINA MAZZEI'!M20</f>
        <v>0</v>
      </c>
      <c r="M15" s="402">
        <f t="shared" si="5"/>
        <v>-1</v>
      </c>
      <c r="N15" s="433">
        <f>'AMA E ISOLINA MAZZEI'!O16</f>
        <v>100</v>
      </c>
      <c r="O15" s="402">
        <f t="shared" si="6"/>
        <v>-0.13043478260869568</v>
      </c>
      <c r="P15" s="433">
        <f>'AMA E ISOLINA MAZZEI'!Q16</f>
        <v>161</v>
      </c>
      <c r="Q15" s="402">
        <f t="shared" si="0"/>
        <v>0.39999999999999991</v>
      </c>
      <c r="R15" s="440" t="e">
        <f>'AMA E ISOLINA MAZZEI'!#REF!</f>
        <v>#REF!</v>
      </c>
      <c r="S15" s="441" t="e">
        <f t="shared" si="7"/>
        <v>#REF!</v>
      </c>
    </row>
    <row r="16" spans="1:19" x14ac:dyDescent="0.25">
      <c r="A16" s="33" t="s">
        <v>198</v>
      </c>
      <c r="B16" s="663" t="s">
        <v>199</v>
      </c>
      <c r="C16" s="664"/>
      <c r="D16" s="664"/>
      <c r="E16" s="664"/>
      <c r="F16" s="664"/>
      <c r="G16" s="664"/>
      <c r="H16" s="664"/>
      <c r="I16" s="664"/>
      <c r="J16" s="664"/>
      <c r="K16" s="664"/>
      <c r="L16" s="664"/>
      <c r="M16" s="664"/>
      <c r="N16" s="664"/>
      <c r="O16" s="664"/>
      <c r="P16" s="664"/>
      <c r="Q16" s="664"/>
      <c r="R16" s="664"/>
      <c r="S16" s="665"/>
    </row>
    <row r="17" spans="1:19" ht="15" customHeight="1" x14ac:dyDescent="0.25">
      <c r="A17" s="33"/>
      <c r="B17" s="401" t="s">
        <v>203</v>
      </c>
      <c r="C17" s="432">
        <v>120</v>
      </c>
      <c r="D17" s="433">
        <f>'AMA E ISOLINA MAZZEI'!G22</f>
        <v>140</v>
      </c>
      <c r="E17" s="402">
        <f t="shared" ref="E17:E25" si="8">((D17/$C17))-1</f>
        <v>0.16666666666666674</v>
      </c>
      <c r="F17" s="433">
        <f>'AMA E ISOLINA MAZZEI'!I22</f>
        <v>36</v>
      </c>
      <c r="G17" s="402">
        <f t="shared" ref="G17:G51" si="9">((F17/$C17))-1</f>
        <v>-0.7</v>
      </c>
      <c r="H17" s="433">
        <f>'AMA E ISOLINA MAZZEI'!K22</f>
        <v>123</v>
      </c>
      <c r="I17" s="402">
        <f>((H17/$C17))-1</f>
        <v>2.4999999999999911E-2</v>
      </c>
      <c r="J17" s="440" t="e">
        <f>'AMA E ISOLINA MAZZEI'!#REF!</f>
        <v>#REF!</v>
      </c>
      <c r="K17" s="441" t="e">
        <f t="shared" si="4"/>
        <v>#REF!</v>
      </c>
      <c r="L17" s="433">
        <f>'AMA E ISOLINA MAZZEI'!M22</f>
        <v>117</v>
      </c>
      <c r="M17" s="402">
        <f t="shared" ref="M17:M51" si="10">((L17/$C17))-1</f>
        <v>-2.5000000000000022E-2</v>
      </c>
      <c r="N17" s="433">
        <f>'AMA E ISOLINA MAZZEI'!O22</f>
        <v>129</v>
      </c>
      <c r="O17" s="402">
        <f t="shared" ref="O17:O23" si="11">((N17/$C17))-1</f>
        <v>7.4999999999999956E-2</v>
      </c>
      <c r="P17" s="433">
        <f>'AMA E ISOLINA MAZZEI'!Q22</f>
        <v>142</v>
      </c>
      <c r="Q17" s="402">
        <f>((P17/$C17))-1</f>
        <v>0.18333333333333335</v>
      </c>
      <c r="R17" s="440" t="e">
        <f>'AMA E ISOLINA MAZZEI'!#REF!</f>
        <v>#REF!</v>
      </c>
      <c r="S17" s="441" t="e">
        <f t="shared" ref="S17:S23" si="12">((R17/($C17*3)))-1</f>
        <v>#REF!</v>
      </c>
    </row>
    <row r="18" spans="1:19" ht="15" customHeight="1" x14ac:dyDescent="0.25">
      <c r="A18" s="33"/>
      <c r="B18" s="401" t="s">
        <v>202</v>
      </c>
      <c r="C18" s="432">
        <v>140</v>
      </c>
      <c r="D18" s="433">
        <f>'AMA E ISOLINA MAZZEI'!G23</f>
        <v>175</v>
      </c>
      <c r="E18" s="402">
        <f t="shared" si="8"/>
        <v>0.25</v>
      </c>
      <c r="F18" s="433">
        <f>'AMA E ISOLINA MAZZEI'!I23</f>
        <v>152</v>
      </c>
      <c r="G18" s="402">
        <f t="shared" si="9"/>
        <v>8.5714285714285632E-2</v>
      </c>
      <c r="H18" s="433">
        <f>'AMA E ISOLINA MAZZEI'!K23</f>
        <v>169</v>
      </c>
      <c r="I18" s="402">
        <f t="shared" ref="I18:I23" si="13">((H18/$C18))-1</f>
        <v>0.20714285714285707</v>
      </c>
      <c r="J18" s="440" t="e">
        <f>'AMA E ISOLINA MAZZEI'!#REF!</f>
        <v>#REF!</v>
      </c>
      <c r="K18" s="441" t="e">
        <f t="shared" si="4"/>
        <v>#REF!</v>
      </c>
      <c r="L18" s="433">
        <f>'AMA E ISOLINA MAZZEI'!M23</f>
        <v>154</v>
      </c>
      <c r="M18" s="402">
        <f t="shared" si="10"/>
        <v>0.10000000000000009</v>
      </c>
      <c r="N18" s="433">
        <f>'AMA E ISOLINA MAZZEI'!O23</f>
        <v>147</v>
      </c>
      <c r="O18" s="402">
        <f t="shared" si="11"/>
        <v>5.0000000000000044E-2</v>
      </c>
      <c r="P18" s="433">
        <f>'AMA E ISOLINA MAZZEI'!Q23</f>
        <v>145</v>
      </c>
      <c r="Q18" s="402">
        <f t="shared" ref="Q18:Q23" si="14">((P18/$C18))-1</f>
        <v>3.5714285714285809E-2</v>
      </c>
      <c r="R18" s="440" t="e">
        <f>'AMA E ISOLINA MAZZEI'!#REF!</f>
        <v>#REF!</v>
      </c>
      <c r="S18" s="441" t="e">
        <f t="shared" si="12"/>
        <v>#REF!</v>
      </c>
    </row>
    <row r="19" spans="1:19" ht="15" customHeight="1" x14ac:dyDescent="0.25">
      <c r="A19" s="33"/>
      <c r="B19" s="401" t="s">
        <v>201</v>
      </c>
      <c r="C19" s="432">
        <v>200</v>
      </c>
      <c r="D19" s="433">
        <f>'AMA E ISOLINA MAZZEI'!G24</f>
        <v>137</v>
      </c>
      <c r="E19" s="402">
        <f t="shared" si="8"/>
        <v>-0.31499999999999995</v>
      </c>
      <c r="F19" s="433">
        <f>'AMA E ISOLINA MAZZEI'!I24</f>
        <v>151</v>
      </c>
      <c r="G19" s="402">
        <f t="shared" si="9"/>
        <v>-0.245</v>
      </c>
      <c r="H19" s="433">
        <f>'AMA E ISOLINA MAZZEI'!K24</f>
        <v>155</v>
      </c>
      <c r="I19" s="402">
        <f t="shared" si="13"/>
        <v>-0.22499999999999998</v>
      </c>
      <c r="J19" s="440" t="e">
        <f>'AMA E ISOLINA MAZZEI'!#REF!</f>
        <v>#REF!</v>
      </c>
      <c r="K19" s="441" t="e">
        <f t="shared" si="4"/>
        <v>#REF!</v>
      </c>
      <c r="L19" s="433">
        <f>'AMA E ISOLINA MAZZEI'!M24</f>
        <v>126</v>
      </c>
      <c r="M19" s="402">
        <f t="shared" si="10"/>
        <v>-0.37</v>
      </c>
      <c r="N19" s="433">
        <f>'AMA E ISOLINA MAZZEI'!O24</f>
        <v>157</v>
      </c>
      <c r="O19" s="402">
        <f t="shared" si="11"/>
        <v>-0.21499999999999997</v>
      </c>
      <c r="P19" s="433">
        <f>'AMA E ISOLINA MAZZEI'!Q24</f>
        <v>151</v>
      </c>
      <c r="Q19" s="402">
        <f t="shared" si="14"/>
        <v>-0.245</v>
      </c>
      <c r="R19" s="440" t="e">
        <f>'AMA E ISOLINA MAZZEI'!#REF!</f>
        <v>#REF!</v>
      </c>
      <c r="S19" s="441" t="e">
        <f t="shared" si="12"/>
        <v>#REF!</v>
      </c>
    </row>
    <row r="20" spans="1:19" ht="15" customHeight="1" x14ac:dyDescent="0.25">
      <c r="A20" s="33"/>
      <c r="B20" s="401" t="s">
        <v>204</v>
      </c>
      <c r="C20" s="432">
        <v>150</v>
      </c>
      <c r="D20" s="433">
        <f>'AMA E ISOLINA MAZZEI'!G25</f>
        <v>126</v>
      </c>
      <c r="E20" s="402">
        <f t="shared" si="8"/>
        <v>-0.16000000000000003</v>
      </c>
      <c r="F20" s="433">
        <f>'AMA E ISOLINA MAZZEI'!I25</f>
        <v>93</v>
      </c>
      <c r="G20" s="402">
        <f t="shared" si="9"/>
        <v>-0.38</v>
      </c>
      <c r="H20" s="433">
        <f>'AMA E ISOLINA MAZZEI'!K25</f>
        <v>81</v>
      </c>
      <c r="I20" s="402">
        <f t="shared" si="13"/>
        <v>-0.45999999999999996</v>
      </c>
      <c r="J20" s="440" t="e">
        <f>'AMA E ISOLINA MAZZEI'!#REF!</f>
        <v>#REF!</v>
      </c>
      <c r="K20" s="441" t="e">
        <f t="shared" si="4"/>
        <v>#REF!</v>
      </c>
      <c r="L20" s="433">
        <f>'AMA E ISOLINA MAZZEI'!M25</f>
        <v>104</v>
      </c>
      <c r="M20" s="402">
        <f t="shared" si="10"/>
        <v>-0.30666666666666664</v>
      </c>
      <c r="N20" s="433">
        <f>'AMA E ISOLINA MAZZEI'!O25</f>
        <v>70</v>
      </c>
      <c r="O20" s="402">
        <f t="shared" si="11"/>
        <v>-0.53333333333333333</v>
      </c>
      <c r="P20" s="433">
        <f>'AMA E ISOLINA MAZZEI'!Q25</f>
        <v>71</v>
      </c>
      <c r="Q20" s="402">
        <f t="shared" si="14"/>
        <v>-0.52666666666666662</v>
      </c>
      <c r="R20" s="440" t="e">
        <f>'AMA E ISOLINA MAZZEI'!#REF!</f>
        <v>#REF!</v>
      </c>
      <c r="S20" s="441" t="e">
        <f t="shared" si="12"/>
        <v>#REF!</v>
      </c>
    </row>
    <row r="21" spans="1:19" ht="15" customHeight="1" x14ac:dyDescent="0.25">
      <c r="A21" s="33"/>
      <c r="B21" s="401" t="s">
        <v>205</v>
      </c>
      <c r="C21" s="432">
        <v>500</v>
      </c>
      <c r="D21" s="433">
        <f>'AMA E ISOLINA MAZZEI'!G26</f>
        <v>613</v>
      </c>
      <c r="E21" s="402">
        <f t="shared" si="8"/>
        <v>0.22599999999999998</v>
      </c>
      <c r="F21" s="433">
        <f>'AMA E ISOLINA MAZZEI'!I26</f>
        <v>480</v>
      </c>
      <c r="G21" s="402">
        <f t="shared" si="9"/>
        <v>-4.0000000000000036E-2</v>
      </c>
      <c r="H21" s="433">
        <f>'AMA E ISOLINA MAZZEI'!K26</f>
        <v>471</v>
      </c>
      <c r="I21" s="402">
        <f t="shared" si="13"/>
        <v>-5.8000000000000052E-2</v>
      </c>
      <c r="J21" s="440" t="e">
        <f>'AMA E ISOLINA MAZZEI'!#REF!</f>
        <v>#REF!</v>
      </c>
      <c r="K21" s="441" t="e">
        <f t="shared" si="4"/>
        <v>#REF!</v>
      </c>
      <c r="L21" s="433">
        <f>'AMA E ISOLINA MAZZEI'!M26</f>
        <v>398</v>
      </c>
      <c r="M21" s="402">
        <f t="shared" si="10"/>
        <v>-0.20399999999999996</v>
      </c>
      <c r="N21" s="433">
        <f>'AMA E ISOLINA MAZZEI'!O26</f>
        <v>561</v>
      </c>
      <c r="O21" s="402">
        <f t="shared" si="11"/>
        <v>0.12200000000000011</v>
      </c>
      <c r="P21" s="433">
        <f>'AMA E ISOLINA MAZZEI'!Q26</f>
        <v>799</v>
      </c>
      <c r="Q21" s="402">
        <f t="shared" si="14"/>
        <v>0.59800000000000009</v>
      </c>
      <c r="R21" s="440" t="e">
        <f>'AMA E ISOLINA MAZZEI'!#REF!</f>
        <v>#REF!</v>
      </c>
      <c r="S21" s="441" t="e">
        <f t="shared" si="12"/>
        <v>#REF!</v>
      </c>
    </row>
    <row r="22" spans="1:19" ht="31.5" customHeight="1" x14ac:dyDescent="0.25">
      <c r="A22" s="33"/>
      <c r="B22" s="401" t="s">
        <v>206</v>
      </c>
      <c r="C22" s="432">
        <v>300</v>
      </c>
      <c r="D22" s="433">
        <f>'AMA E ISOLINA MAZZEI'!G27</f>
        <v>320</v>
      </c>
      <c r="E22" s="402">
        <f t="shared" si="8"/>
        <v>6.6666666666666652E-2</v>
      </c>
      <c r="F22" s="433">
        <f>'AMA E ISOLINA MAZZEI'!I27</f>
        <v>325</v>
      </c>
      <c r="G22" s="402">
        <f t="shared" si="9"/>
        <v>8.3333333333333259E-2</v>
      </c>
      <c r="H22" s="433">
        <f>'AMA E ISOLINA MAZZEI'!K27</f>
        <v>300</v>
      </c>
      <c r="I22" s="402">
        <f t="shared" si="13"/>
        <v>0</v>
      </c>
      <c r="J22" s="440" t="e">
        <f>'AMA E ISOLINA MAZZEI'!#REF!</f>
        <v>#REF!</v>
      </c>
      <c r="K22" s="441" t="e">
        <f t="shared" si="4"/>
        <v>#REF!</v>
      </c>
      <c r="L22" s="433">
        <f>'AMA E ISOLINA MAZZEI'!M27</f>
        <v>290</v>
      </c>
      <c r="M22" s="402">
        <f t="shared" si="10"/>
        <v>-3.3333333333333326E-2</v>
      </c>
      <c r="N22" s="433">
        <f>'AMA E ISOLINA MAZZEI'!O27</f>
        <v>245</v>
      </c>
      <c r="O22" s="402">
        <f t="shared" si="11"/>
        <v>-0.18333333333333335</v>
      </c>
      <c r="P22" s="433">
        <f>'AMA E ISOLINA MAZZEI'!Q27</f>
        <v>296</v>
      </c>
      <c r="Q22" s="402">
        <f t="shared" si="14"/>
        <v>-1.3333333333333308E-2</v>
      </c>
      <c r="R22" s="440" t="e">
        <f>'AMA E ISOLINA MAZZEI'!#REF!</f>
        <v>#REF!</v>
      </c>
      <c r="S22" s="441" t="e">
        <f t="shared" si="12"/>
        <v>#REF!</v>
      </c>
    </row>
    <row r="23" spans="1:19" ht="15" customHeight="1" x14ac:dyDescent="0.25">
      <c r="A23" s="33"/>
      <c r="B23" s="401" t="s">
        <v>200</v>
      </c>
      <c r="C23" s="432">
        <v>260</v>
      </c>
      <c r="D23" s="433">
        <f>'AMA E ISOLINA MAZZEI'!G28</f>
        <v>187</v>
      </c>
      <c r="E23" s="402">
        <f t="shared" si="8"/>
        <v>-0.28076923076923077</v>
      </c>
      <c r="F23" s="433">
        <f>'AMA E ISOLINA MAZZEI'!I28</f>
        <v>109</v>
      </c>
      <c r="G23" s="402">
        <f t="shared" si="9"/>
        <v>-0.5807692307692307</v>
      </c>
      <c r="H23" s="433">
        <f>'AMA E ISOLINA MAZZEI'!K28</f>
        <v>187</v>
      </c>
      <c r="I23" s="402">
        <f t="shared" si="13"/>
        <v>-0.28076923076923077</v>
      </c>
      <c r="J23" s="440" t="e">
        <f>'AMA E ISOLINA MAZZEI'!#REF!</f>
        <v>#REF!</v>
      </c>
      <c r="K23" s="441" t="e">
        <f t="shared" si="4"/>
        <v>#REF!</v>
      </c>
      <c r="L23" s="433">
        <f>'AMA E ISOLINA MAZZEI'!M28</f>
        <v>223</v>
      </c>
      <c r="M23" s="402">
        <f t="shared" si="10"/>
        <v>-0.14230769230769236</v>
      </c>
      <c r="N23" s="433">
        <f>'AMA E ISOLINA MAZZEI'!O28</f>
        <v>254</v>
      </c>
      <c r="O23" s="402">
        <f t="shared" si="11"/>
        <v>-2.3076923076923106E-2</v>
      </c>
      <c r="P23" s="433">
        <f>'AMA E ISOLINA MAZZEI'!Q28</f>
        <v>194</v>
      </c>
      <c r="Q23" s="402">
        <f t="shared" si="14"/>
        <v>-0.25384615384615383</v>
      </c>
      <c r="R23" s="440" t="e">
        <f>'AMA E ISOLINA MAZZEI'!#REF!</f>
        <v>#REF!</v>
      </c>
      <c r="S23" s="441" t="e">
        <f t="shared" si="12"/>
        <v>#REF!</v>
      </c>
    </row>
    <row r="24" spans="1:19" x14ac:dyDescent="0.25">
      <c r="A24" s="33"/>
      <c r="B24" s="663" t="s">
        <v>207</v>
      </c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664"/>
      <c r="N24" s="664"/>
      <c r="O24" s="664"/>
      <c r="P24" s="664"/>
      <c r="Q24" s="664"/>
      <c r="R24" s="664"/>
      <c r="S24" s="665"/>
    </row>
    <row r="25" spans="1:19" ht="15" customHeight="1" x14ac:dyDescent="0.25">
      <c r="A25" s="36" t="s">
        <v>208</v>
      </c>
      <c r="B25" s="401" t="s">
        <v>209</v>
      </c>
      <c r="C25" s="434">
        <v>155</v>
      </c>
      <c r="D25" s="435">
        <f>'CAPS INF II VM-VG'!G7</f>
        <v>396</v>
      </c>
      <c r="E25" s="402">
        <f t="shared" si="8"/>
        <v>1.5548387096774192</v>
      </c>
      <c r="F25" s="435">
        <f>'CAPS INF II VM-VG'!I7</f>
        <v>392</v>
      </c>
      <c r="G25" s="402">
        <f t="shared" si="9"/>
        <v>1.5290322580645159</v>
      </c>
      <c r="H25" s="435">
        <f>'CAPS INF II VM-VG'!K7</f>
        <v>402</v>
      </c>
      <c r="I25" s="402">
        <f t="shared" ref="I25" si="15">((H25/$C25))-1</f>
        <v>1.5935483870967744</v>
      </c>
      <c r="J25" s="440" t="e">
        <f>'CAPS INF II VM-VG'!#REF!</f>
        <v>#REF!</v>
      </c>
      <c r="K25" s="441" t="e">
        <f t="shared" si="4"/>
        <v>#REF!</v>
      </c>
      <c r="L25" s="435">
        <f>'CAPS INF II VM-VG'!M7</f>
        <v>410</v>
      </c>
      <c r="M25" s="402">
        <f t="shared" si="10"/>
        <v>1.6451612903225805</v>
      </c>
      <c r="N25" s="435">
        <f>'CAPS INF II VM-VG'!O7</f>
        <v>398</v>
      </c>
      <c r="O25" s="402">
        <f t="shared" ref="O25" si="16">((N25/$C25))-1</f>
        <v>1.5677419354838711</v>
      </c>
      <c r="P25" s="435">
        <f>'CAPS INF II VM-VG'!Q7</f>
        <v>408</v>
      </c>
      <c r="Q25" s="402">
        <f t="shared" ref="Q25" si="17">((P25/$C25))-1</f>
        <v>1.6322580645161291</v>
      </c>
      <c r="R25" s="440" t="e">
        <f>'CAPS INF II VM-VG'!#REF!</f>
        <v>#REF!</v>
      </c>
      <c r="S25" s="441" t="e">
        <f t="shared" ref="S25" si="18">((R25/($C25*3)))-1</f>
        <v>#REF!</v>
      </c>
    </row>
    <row r="26" spans="1:19" x14ac:dyDescent="0.25">
      <c r="A26" s="33"/>
      <c r="B26" s="663" t="s">
        <v>210</v>
      </c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5"/>
    </row>
    <row r="27" spans="1:19" ht="15" customHeight="1" x14ac:dyDescent="0.25">
      <c r="A27" s="36">
        <v>21</v>
      </c>
      <c r="B27" s="401" t="s">
        <v>211</v>
      </c>
      <c r="C27" s="434">
        <v>180</v>
      </c>
      <c r="D27" s="434">
        <f>'CER Carandiru'!G7</f>
        <v>490</v>
      </c>
      <c r="E27" s="402">
        <f>((D27/$C27))-1</f>
        <v>1.7222222222222223</v>
      </c>
      <c r="F27" s="434">
        <f>'CER Carandiru'!I7</f>
        <v>349</v>
      </c>
      <c r="G27" s="402">
        <f t="shared" si="9"/>
        <v>0.93888888888888888</v>
      </c>
      <c r="H27" s="434">
        <f>'CER Carandiru'!K7</f>
        <v>322</v>
      </c>
      <c r="I27" s="402">
        <f t="shared" ref="I27:I28" si="19">((H27/$C27))-1</f>
        <v>0.78888888888888897</v>
      </c>
      <c r="J27" s="442" t="e">
        <f>'CER Carandiru'!#REF!</f>
        <v>#REF!</v>
      </c>
      <c r="K27" s="441" t="e">
        <f t="shared" si="4"/>
        <v>#REF!</v>
      </c>
      <c r="L27" s="434">
        <f>'CER Carandiru'!M7</f>
        <v>230</v>
      </c>
      <c r="M27" s="402">
        <f t="shared" si="10"/>
        <v>0.27777777777777768</v>
      </c>
      <c r="N27" s="434">
        <f>'CER Carandiru'!O7</f>
        <v>155</v>
      </c>
      <c r="O27" s="402">
        <f t="shared" ref="O27:O28" si="20">((N27/$C27))-1</f>
        <v>-0.13888888888888884</v>
      </c>
      <c r="P27" s="434">
        <f>'CER Carandiru'!Q7</f>
        <v>478</v>
      </c>
      <c r="Q27" s="402">
        <f t="shared" ref="Q27:Q28" si="21">((P27/$C27))-1</f>
        <v>1.6555555555555554</v>
      </c>
      <c r="R27" s="442" t="e">
        <f>'CER Carandiru'!#REF!</f>
        <v>#REF!</v>
      </c>
      <c r="S27" s="441" t="e">
        <f t="shared" ref="S27:S28" si="22">((R27/($C27*3)))-1</f>
        <v>#REF!</v>
      </c>
    </row>
    <row r="28" spans="1:19" ht="35.25" customHeight="1" x14ac:dyDescent="0.25">
      <c r="A28" s="36">
        <v>10</v>
      </c>
      <c r="B28" s="401" t="s">
        <v>212</v>
      </c>
      <c r="C28" s="434">
        <v>490</v>
      </c>
      <c r="D28" s="434">
        <f>'CER Carandiru'!G8</f>
        <v>1123</v>
      </c>
      <c r="E28" s="402">
        <f t="shared" ref="E28:E34" si="23">((D28/$C28))-1</f>
        <v>1.2918367346938777</v>
      </c>
      <c r="F28" s="434">
        <f>'CER Carandiru'!I8</f>
        <v>964</v>
      </c>
      <c r="G28" s="402">
        <f t="shared" si="9"/>
        <v>0.96734693877551026</v>
      </c>
      <c r="H28" s="434">
        <f>'CER Carandiru'!K8</f>
        <v>957</v>
      </c>
      <c r="I28" s="402">
        <f t="shared" si="19"/>
        <v>0.95306122448979602</v>
      </c>
      <c r="J28" s="442" t="e">
        <f>'CER Carandiru'!#REF!</f>
        <v>#REF!</v>
      </c>
      <c r="K28" s="441" t="e">
        <f t="shared" si="4"/>
        <v>#REF!</v>
      </c>
      <c r="L28" s="434">
        <f>'CER Carandiru'!M8</f>
        <v>974</v>
      </c>
      <c r="M28" s="402">
        <f t="shared" si="10"/>
        <v>0.9877551020408164</v>
      </c>
      <c r="N28" s="434">
        <f>'CER Carandiru'!O8</f>
        <v>693</v>
      </c>
      <c r="O28" s="402">
        <f t="shared" si="20"/>
        <v>0.41428571428571437</v>
      </c>
      <c r="P28" s="434">
        <f>'CER Carandiru'!Q8</f>
        <v>1140</v>
      </c>
      <c r="Q28" s="402">
        <f t="shared" si="21"/>
        <v>1.3265306122448979</v>
      </c>
      <c r="R28" s="442" t="e">
        <f>'CER Carandiru'!#REF!</f>
        <v>#REF!</v>
      </c>
      <c r="S28" s="441" t="e">
        <f t="shared" si="22"/>
        <v>#REF!</v>
      </c>
    </row>
    <row r="29" spans="1:19" ht="35.25" customHeight="1" x14ac:dyDescent="0.25">
      <c r="A29" s="41"/>
      <c r="B29" s="663" t="s">
        <v>347</v>
      </c>
      <c r="C29" s="664"/>
      <c r="D29" s="664"/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664"/>
      <c r="P29" s="664"/>
      <c r="Q29" s="664"/>
      <c r="R29" s="664"/>
      <c r="S29" s="665"/>
    </row>
    <row r="30" spans="1:19" ht="35.25" customHeight="1" x14ac:dyDescent="0.25">
      <c r="A30" s="41"/>
      <c r="B30" s="401" t="s">
        <v>268</v>
      </c>
      <c r="C30" s="434">
        <v>70</v>
      </c>
      <c r="D30" s="434">
        <f>'APD no CER III Carandiru'!G7</f>
        <v>17</v>
      </c>
      <c r="E30" s="402">
        <f t="shared" si="23"/>
        <v>-0.75714285714285712</v>
      </c>
      <c r="F30" s="434">
        <f>'APD no CER III Carandiru'!I7</f>
        <v>18</v>
      </c>
      <c r="G30" s="402">
        <f t="shared" si="9"/>
        <v>-0.74285714285714288</v>
      </c>
      <c r="H30" s="434">
        <f>'APD no CER III Carandiru'!K7</f>
        <v>19</v>
      </c>
      <c r="I30" s="402">
        <f t="shared" ref="I30" si="24">((H30/$C30))-1</f>
        <v>-0.72857142857142865</v>
      </c>
      <c r="J30" s="442" t="e">
        <f>'APD no CER III Carandiru'!#REF!</f>
        <v>#REF!</v>
      </c>
      <c r="K30" s="441" t="e">
        <f t="shared" si="4"/>
        <v>#REF!</v>
      </c>
      <c r="L30" s="434">
        <f>'APD no CER III Carandiru'!M7</f>
        <v>20</v>
      </c>
      <c r="M30" s="402">
        <f t="shared" si="10"/>
        <v>-0.7142857142857143</v>
      </c>
      <c r="N30" s="434">
        <f>'APD no CER III Carandiru'!O7</f>
        <v>20</v>
      </c>
      <c r="O30" s="402">
        <f t="shared" ref="O30" si="25">((N30/$C30))-1</f>
        <v>-0.7142857142857143</v>
      </c>
      <c r="P30" s="434">
        <f>'APD no CER III Carandiru'!Q7</f>
        <v>31</v>
      </c>
      <c r="Q30" s="402">
        <f t="shared" ref="Q30" si="26">((P30/$C30))-1</f>
        <v>-0.55714285714285716</v>
      </c>
      <c r="R30" s="442" t="e">
        <f>'APD no CER III Carandiru'!#REF!</f>
        <v>#REF!</v>
      </c>
      <c r="S30" s="441" t="e">
        <f t="shared" ref="S30" si="27">((R30/($C30*3)))-1</f>
        <v>#REF!</v>
      </c>
    </row>
    <row r="31" spans="1:19" x14ac:dyDescent="0.25">
      <c r="A31" s="33"/>
      <c r="B31" s="663" t="s">
        <v>213</v>
      </c>
      <c r="C31" s="664"/>
      <c r="D31" s="664"/>
      <c r="E31" s="664"/>
      <c r="F31" s="664"/>
      <c r="G31" s="664"/>
      <c r="H31" s="664"/>
      <c r="I31" s="664"/>
      <c r="J31" s="664"/>
      <c r="K31" s="664"/>
      <c r="L31" s="664"/>
      <c r="M31" s="664"/>
      <c r="N31" s="664"/>
      <c r="O31" s="664"/>
      <c r="P31" s="664"/>
      <c r="Q31" s="664"/>
      <c r="R31" s="664"/>
      <c r="S31" s="665"/>
    </row>
    <row r="32" spans="1:19" ht="15" customHeight="1" x14ac:dyDescent="0.25">
      <c r="A32" s="36">
        <v>8</v>
      </c>
      <c r="B32" s="401" t="s">
        <v>214</v>
      </c>
      <c r="C32" s="434">
        <v>60</v>
      </c>
      <c r="D32" s="435">
        <f>'EMAD na UBS JD JAPÃO'!G11</f>
        <v>64</v>
      </c>
      <c r="E32" s="402">
        <f t="shared" si="23"/>
        <v>6.6666666666666652E-2</v>
      </c>
      <c r="F32" s="435">
        <f>'EMAD na UBS JD JAPÃO'!I11</f>
        <v>59</v>
      </c>
      <c r="G32" s="402">
        <f t="shared" si="9"/>
        <v>-1.6666666666666718E-2</v>
      </c>
      <c r="H32" s="435">
        <f>'EMAD na UBS JD JAPÃO'!K11</f>
        <v>60</v>
      </c>
      <c r="I32" s="402">
        <f t="shared" ref="I32" si="28">((H32/$C32))-1</f>
        <v>0</v>
      </c>
      <c r="J32" s="440" t="e">
        <f>'EMAD na UBS JD JAPÃO'!#REF!</f>
        <v>#REF!</v>
      </c>
      <c r="K32" s="441" t="e">
        <f t="shared" si="4"/>
        <v>#REF!</v>
      </c>
      <c r="L32" s="435">
        <f>'EMAD na UBS JD JAPÃO'!M11</f>
        <v>57</v>
      </c>
      <c r="M32" s="402">
        <f t="shared" si="10"/>
        <v>-5.0000000000000044E-2</v>
      </c>
      <c r="N32" s="435">
        <f>'EMAD na UBS JD JAPÃO'!O11</f>
        <v>62</v>
      </c>
      <c r="O32" s="402">
        <f t="shared" ref="O32" si="29">((N32/$C32))-1</f>
        <v>3.3333333333333437E-2</v>
      </c>
      <c r="P32" s="435">
        <f>'EMAD na UBS JD JAPÃO'!Q11</f>
        <v>61</v>
      </c>
      <c r="Q32" s="402">
        <f t="shared" ref="Q32" si="30">((P32/$C32))-1</f>
        <v>1.6666666666666607E-2</v>
      </c>
      <c r="R32" s="440" t="e">
        <f>'EMAD na UBS JD JAPÃO'!#REF!</f>
        <v>#REF!</v>
      </c>
      <c r="S32" s="441" t="e">
        <f t="shared" ref="S32" si="31">((R32/($C32*3)))-1</f>
        <v>#REF!</v>
      </c>
    </row>
    <row r="33" spans="1:19" ht="15" customHeight="1" x14ac:dyDescent="0.25">
      <c r="A33" s="35" t="s">
        <v>215</v>
      </c>
      <c r="B33" s="663" t="s">
        <v>216</v>
      </c>
      <c r="C33" s="664"/>
      <c r="D33" s="664"/>
      <c r="E33" s="664"/>
      <c r="F33" s="664"/>
      <c r="G33" s="664"/>
      <c r="H33" s="664"/>
      <c r="I33" s="664"/>
      <c r="J33" s="664"/>
      <c r="K33" s="664"/>
      <c r="L33" s="664"/>
      <c r="M33" s="664"/>
      <c r="N33" s="664"/>
      <c r="O33" s="664"/>
      <c r="P33" s="664"/>
      <c r="Q33" s="664"/>
      <c r="R33" s="664"/>
      <c r="S33" s="665"/>
    </row>
    <row r="34" spans="1:19" ht="15" customHeight="1" x14ac:dyDescent="0.25">
      <c r="A34" s="35">
        <v>2</v>
      </c>
      <c r="B34" s="401" t="s">
        <v>217</v>
      </c>
      <c r="C34" s="432">
        <v>90</v>
      </c>
      <c r="D34" s="433">
        <f>'CEO II V GUILHERME'!G7</f>
        <v>396</v>
      </c>
      <c r="E34" s="402">
        <f t="shared" si="23"/>
        <v>3.4000000000000004</v>
      </c>
      <c r="F34" s="433">
        <f>'CEO II V GUILHERME'!I7</f>
        <v>223</v>
      </c>
      <c r="G34" s="402">
        <f t="shared" si="9"/>
        <v>1.4777777777777779</v>
      </c>
      <c r="H34" s="433">
        <f>'CEO II V GUILHERME'!K7</f>
        <v>304</v>
      </c>
      <c r="I34" s="402">
        <f t="shared" ref="I34" si="32">((H34/$C34))-1</f>
        <v>2.3777777777777778</v>
      </c>
      <c r="J34" s="440" t="e">
        <f>'CEO II V GUILHERME'!#REF!</f>
        <v>#REF!</v>
      </c>
      <c r="K34" s="441" t="e">
        <f t="shared" si="4"/>
        <v>#REF!</v>
      </c>
      <c r="L34" s="433">
        <f>'CEO II V GUILHERME'!M7</f>
        <v>298</v>
      </c>
      <c r="M34" s="402">
        <f t="shared" si="10"/>
        <v>2.3111111111111109</v>
      </c>
      <c r="N34" s="433">
        <f>'CEO II V GUILHERME'!O7</f>
        <v>359</v>
      </c>
      <c r="O34" s="402">
        <f t="shared" ref="O34" si="33">((N34/$C34))-1</f>
        <v>2.9888888888888889</v>
      </c>
      <c r="P34" s="433">
        <f>'CEO II V GUILHERME'!Q7</f>
        <v>289</v>
      </c>
      <c r="Q34" s="402">
        <f t="shared" ref="Q34" si="34">((P34/$C34))-1</f>
        <v>2.2111111111111112</v>
      </c>
      <c r="R34" s="440" t="e">
        <f>'CEO II V GUILHERME'!#REF!</f>
        <v>#REF!</v>
      </c>
      <c r="S34" s="441" t="e">
        <f t="shared" ref="S34:S41" si="35">((R34/($C34*3)))-1</f>
        <v>#REF!</v>
      </c>
    </row>
    <row r="35" spans="1:19" ht="15" customHeight="1" x14ac:dyDescent="0.25">
      <c r="A35" s="35">
        <v>1</v>
      </c>
      <c r="B35" s="401" t="s">
        <v>221</v>
      </c>
      <c r="C35" s="432" t="s">
        <v>222</v>
      </c>
      <c r="D35" s="433">
        <f>'CEO II V GUILHERME'!G8</f>
        <v>76</v>
      </c>
      <c r="E35" s="403"/>
      <c r="F35" s="433">
        <f>'CEO II V GUILHERME'!I8</f>
        <v>55</v>
      </c>
      <c r="G35" s="403"/>
      <c r="H35" s="433">
        <f>'CEO II V GUILHERME'!K8</f>
        <v>67</v>
      </c>
      <c r="I35" s="403"/>
      <c r="J35" s="440" t="e">
        <f>'CEO II V GUILHERME'!#REF!</f>
        <v>#REF!</v>
      </c>
      <c r="K35" s="441"/>
      <c r="L35" s="433">
        <f>'CEO II V GUILHERME'!M8</f>
        <v>91</v>
      </c>
      <c r="M35" s="403"/>
      <c r="N35" s="433">
        <f>'CEO II V GUILHERME'!O8</f>
        <v>84</v>
      </c>
      <c r="O35" s="403"/>
      <c r="P35" s="433">
        <f>'CEO II V GUILHERME'!Q8</f>
        <v>59</v>
      </c>
      <c r="Q35" s="403"/>
      <c r="R35" s="440" t="e">
        <f>'CEO II V GUILHERME'!#REF!</f>
        <v>#REF!</v>
      </c>
      <c r="S35" s="441"/>
    </row>
    <row r="36" spans="1:19" ht="15" customHeight="1" x14ac:dyDescent="0.25">
      <c r="A36" s="35">
        <v>1</v>
      </c>
      <c r="B36" s="401" t="s">
        <v>218</v>
      </c>
      <c r="C36" s="432">
        <v>90</v>
      </c>
      <c r="D36" s="433">
        <f>'CEO II V GUILHERME'!G9</f>
        <v>56</v>
      </c>
      <c r="E36" s="402">
        <f t="shared" ref="E36:E51" si="36">((D36/$C36))-1</f>
        <v>-0.37777777777777777</v>
      </c>
      <c r="F36" s="433">
        <f>'CEO II V GUILHERME'!I9</f>
        <v>101</v>
      </c>
      <c r="G36" s="402">
        <f t="shared" si="9"/>
        <v>0.12222222222222223</v>
      </c>
      <c r="H36" s="433">
        <f>'CEO II V GUILHERME'!K9</f>
        <v>54</v>
      </c>
      <c r="I36" s="402">
        <f t="shared" ref="I36:I41" si="37">((H36/$C36))-1</f>
        <v>-0.4</v>
      </c>
      <c r="J36" s="440" t="e">
        <f>'CEO II V GUILHERME'!#REF!</f>
        <v>#REF!</v>
      </c>
      <c r="K36" s="441" t="e">
        <f t="shared" si="4"/>
        <v>#REF!</v>
      </c>
      <c r="L36" s="433">
        <f>'CEO II V GUILHERME'!M9</f>
        <v>131</v>
      </c>
      <c r="M36" s="402">
        <f t="shared" si="10"/>
        <v>0.45555555555555549</v>
      </c>
      <c r="N36" s="433">
        <f>'CEO II V GUILHERME'!O9</f>
        <v>90</v>
      </c>
      <c r="O36" s="402">
        <f t="shared" ref="O36:O41" si="38">((N36/$C36))-1</f>
        <v>0</v>
      </c>
      <c r="P36" s="433">
        <f>'CEO II V GUILHERME'!Q9</f>
        <v>160</v>
      </c>
      <c r="Q36" s="402">
        <f t="shared" ref="Q36:Q41" si="39">((P36/$C36))-1</f>
        <v>0.77777777777777768</v>
      </c>
      <c r="R36" s="440" t="e">
        <f>'CEO II V GUILHERME'!#REF!</f>
        <v>#REF!</v>
      </c>
      <c r="S36" s="441" t="e">
        <f t="shared" si="35"/>
        <v>#REF!</v>
      </c>
    </row>
    <row r="37" spans="1:19" ht="15" customHeight="1" x14ac:dyDescent="0.25">
      <c r="A37" s="35">
        <v>3</v>
      </c>
      <c r="B37" s="401" t="s">
        <v>219</v>
      </c>
      <c r="C37" s="432">
        <v>60</v>
      </c>
      <c r="D37" s="433">
        <f>'CEO II V GUILHERME'!G10</f>
        <v>83</v>
      </c>
      <c r="E37" s="402">
        <f t="shared" si="36"/>
        <v>0.3833333333333333</v>
      </c>
      <c r="F37" s="433">
        <f>'CEO II V GUILHERME'!I10</f>
        <v>54</v>
      </c>
      <c r="G37" s="402">
        <f t="shared" si="9"/>
        <v>-9.9999999999999978E-2</v>
      </c>
      <c r="H37" s="433">
        <f>'CEO II V GUILHERME'!K10</f>
        <v>69</v>
      </c>
      <c r="I37" s="402">
        <f t="shared" si="37"/>
        <v>0.14999999999999991</v>
      </c>
      <c r="J37" s="440" t="e">
        <f>'CEO II V GUILHERME'!#REF!</f>
        <v>#REF!</v>
      </c>
      <c r="K37" s="441" t="e">
        <f t="shared" si="4"/>
        <v>#REF!</v>
      </c>
      <c r="L37" s="433">
        <f>'CEO II V GUILHERME'!M10</f>
        <v>104</v>
      </c>
      <c r="M37" s="402">
        <f t="shared" si="10"/>
        <v>0.73333333333333339</v>
      </c>
      <c r="N37" s="433">
        <f>'CEO II V GUILHERME'!O10</f>
        <v>147</v>
      </c>
      <c r="O37" s="402">
        <f t="shared" si="38"/>
        <v>1.4500000000000002</v>
      </c>
      <c r="P37" s="433">
        <f>'CEO II V GUILHERME'!Q10</f>
        <v>127</v>
      </c>
      <c r="Q37" s="402">
        <f t="shared" si="39"/>
        <v>1.1166666666666667</v>
      </c>
      <c r="R37" s="440" t="e">
        <f>'CEO II V GUILHERME'!#REF!</f>
        <v>#REF!</v>
      </c>
      <c r="S37" s="441" t="e">
        <f t="shared" si="35"/>
        <v>#REF!</v>
      </c>
    </row>
    <row r="38" spans="1:19" ht="15" customHeight="1" x14ac:dyDescent="0.25">
      <c r="A38" s="35">
        <v>2</v>
      </c>
      <c r="B38" s="401" t="s">
        <v>220</v>
      </c>
      <c r="C38" s="432">
        <v>126</v>
      </c>
      <c r="D38" s="433">
        <f>'CEO II V GUILHERME'!G11</f>
        <v>319</v>
      </c>
      <c r="E38" s="402">
        <f t="shared" si="36"/>
        <v>1.5317460317460316</v>
      </c>
      <c r="F38" s="433">
        <f>'CEO II V GUILHERME'!I11</f>
        <v>238</v>
      </c>
      <c r="G38" s="402">
        <f t="shared" si="9"/>
        <v>0.88888888888888884</v>
      </c>
      <c r="H38" s="433">
        <f>'CEO II V GUILHERME'!K11</f>
        <v>108</v>
      </c>
      <c r="I38" s="402">
        <f t="shared" si="37"/>
        <v>-0.1428571428571429</v>
      </c>
      <c r="J38" s="440" t="e">
        <f>'CEO II V GUILHERME'!#REF!</f>
        <v>#REF!</v>
      </c>
      <c r="K38" s="441" t="e">
        <f t="shared" si="4"/>
        <v>#REF!</v>
      </c>
      <c r="L38" s="433">
        <f>'CEO II V GUILHERME'!M11</f>
        <v>164</v>
      </c>
      <c r="M38" s="402">
        <f t="shared" si="10"/>
        <v>0.30158730158730163</v>
      </c>
      <c r="N38" s="433">
        <f>'CEO II V GUILHERME'!O11</f>
        <v>55</v>
      </c>
      <c r="O38" s="402">
        <f t="shared" si="38"/>
        <v>-0.56349206349206349</v>
      </c>
      <c r="P38" s="433">
        <f>'CEO II V GUILHERME'!Q11</f>
        <v>364</v>
      </c>
      <c r="Q38" s="402">
        <f t="shared" si="39"/>
        <v>1.8888888888888888</v>
      </c>
      <c r="R38" s="440" t="e">
        <f>'CEO II V GUILHERME'!#REF!</f>
        <v>#REF!</v>
      </c>
      <c r="S38" s="441" t="e">
        <f t="shared" si="35"/>
        <v>#REF!</v>
      </c>
    </row>
    <row r="39" spans="1:19" ht="15" customHeight="1" x14ac:dyDescent="0.25">
      <c r="A39" s="35">
        <v>2</v>
      </c>
      <c r="B39" s="401" t="s">
        <v>223</v>
      </c>
      <c r="C39" s="432">
        <v>120</v>
      </c>
      <c r="D39" s="433">
        <f>'CEO II V GUILHERME'!G12</f>
        <v>400</v>
      </c>
      <c r="E39" s="402">
        <f t="shared" si="36"/>
        <v>2.3333333333333335</v>
      </c>
      <c r="F39" s="433">
        <f>'CEO II V GUILHERME'!I12</f>
        <v>349</v>
      </c>
      <c r="G39" s="402">
        <f t="shared" si="9"/>
        <v>1.9083333333333332</v>
      </c>
      <c r="H39" s="433">
        <f>'CEO II V GUILHERME'!K12</f>
        <v>340</v>
      </c>
      <c r="I39" s="402">
        <f t="shared" si="37"/>
        <v>1.8333333333333335</v>
      </c>
      <c r="J39" s="440" t="e">
        <f>'CEO II V GUILHERME'!#REF!</f>
        <v>#REF!</v>
      </c>
      <c r="K39" s="441" t="e">
        <f t="shared" si="4"/>
        <v>#REF!</v>
      </c>
      <c r="L39" s="433">
        <f>'CEO II V GUILHERME'!M12</f>
        <v>474</v>
      </c>
      <c r="M39" s="402">
        <f t="shared" si="10"/>
        <v>2.95</v>
      </c>
      <c r="N39" s="433">
        <f>'CEO II V GUILHERME'!O12</f>
        <v>316</v>
      </c>
      <c r="O39" s="402">
        <f t="shared" si="38"/>
        <v>1.6333333333333333</v>
      </c>
      <c r="P39" s="433">
        <f>'CEO II V GUILHERME'!Q12</f>
        <v>368</v>
      </c>
      <c r="Q39" s="402">
        <f t="shared" si="39"/>
        <v>2.0666666666666669</v>
      </c>
      <c r="R39" s="440" t="e">
        <f>'CEO II V GUILHERME'!#REF!</f>
        <v>#REF!</v>
      </c>
      <c r="S39" s="441" t="e">
        <f t="shared" si="35"/>
        <v>#REF!</v>
      </c>
    </row>
    <row r="40" spans="1:19" ht="15" customHeight="1" x14ac:dyDescent="0.25">
      <c r="A40" s="35">
        <v>1</v>
      </c>
      <c r="B40" s="401" t="s">
        <v>224</v>
      </c>
      <c r="C40" s="432">
        <v>120</v>
      </c>
      <c r="D40" s="433">
        <f>'CEO II V GUILHERME'!G13</f>
        <v>68</v>
      </c>
      <c r="E40" s="402">
        <f t="shared" si="36"/>
        <v>-0.43333333333333335</v>
      </c>
      <c r="F40" s="433">
        <f>'CEO II V GUILHERME'!I13</f>
        <v>40</v>
      </c>
      <c r="G40" s="402">
        <f t="shared" si="9"/>
        <v>-0.66666666666666674</v>
      </c>
      <c r="H40" s="433">
        <f>'CEO II V GUILHERME'!K13</f>
        <v>24</v>
      </c>
      <c r="I40" s="402">
        <f t="shared" si="37"/>
        <v>-0.8</v>
      </c>
      <c r="J40" s="440" t="e">
        <f>'CEO II V GUILHERME'!#REF!</f>
        <v>#REF!</v>
      </c>
      <c r="K40" s="441" t="e">
        <f t="shared" si="4"/>
        <v>#REF!</v>
      </c>
      <c r="L40" s="433">
        <f>'CEO II V GUILHERME'!M13</f>
        <v>129</v>
      </c>
      <c r="M40" s="402">
        <f t="shared" si="10"/>
        <v>7.4999999999999956E-2</v>
      </c>
      <c r="N40" s="433">
        <f>'CEO II V GUILHERME'!O13</f>
        <v>27</v>
      </c>
      <c r="O40" s="402">
        <f t="shared" si="38"/>
        <v>-0.77500000000000002</v>
      </c>
      <c r="P40" s="433">
        <f>'CEO II V GUILHERME'!Q13</f>
        <v>71</v>
      </c>
      <c r="Q40" s="402">
        <f t="shared" si="39"/>
        <v>-0.40833333333333333</v>
      </c>
      <c r="R40" s="440" t="e">
        <f>'CEO II V GUILHERME'!#REF!</f>
        <v>#REF!</v>
      </c>
      <c r="S40" s="441" t="e">
        <f t="shared" si="35"/>
        <v>#REF!</v>
      </c>
    </row>
    <row r="41" spans="1:19" ht="15" customHeight="1" x14ac:dyDescent="0.25">
      <c r="A41" s="35" t="s">
        <v>225</v>
      </c>
      <c r="B41" s="401" t="s">
        <v>226</v>
      </c>
      <c r="C41" s="432">
        <v>80</v>
      </c>
      <c r="D41" s="433">
        <f>'CEO II V GUILHERME'!G14</f>
        <v>76</v>
      </c>
      <c r="E41" s="402">
        <f t="shared" si="36"/>
        <v>-5.0000000000000044E-2</v>
      </c>
      <c r="F41" s="433">
        <f>'CEO II V GUILHERME'!I14</f>
        <v>102</v>
      </c>
      <c r="G41" s="402">
        <f t="shared" si="9"/>
        <v>0.27499999999999991</v>
      </c>
      <c r="H41" s="433">
        <f>'CEO II V GUILHERME'!K14</f>
        <v>84</v>
      </c>
      <c r="I41" s="402">
        <f t="shared" si="37"/>
        <v>5.0000000000000044E-2</v>
      </c>
      <c r="J41" s="440" t="e">
        <f>'CEO II V GUILHERME'!#REF!</f>
        <v>#REF!</v>
      </c>
      <c r="K41" s="441" t="e">
        <f t="shared" si="4"/>
        <v>#REF!</v>
      </c>
      <c r="L41" s="433">
        <f>'CEO II V GUILHERME'!M14</f>
        <v>89</v>
      </c>
      <c r="M41" s="402">
        <f t="shared" si="10"/>
        <v>0.11250000000000004</v>
      </c>
      <c r="N41" s="433">
        <f>'CEO II V GUILHERME'!O14</f>
        <v>33</v>
      </c>
      <c r="O41" s="402">
        <f t="shared" si="38"/>
        <v>-0.58750000000000002</v>
      </c>
      <c r="P41" s="433">
        <f>'CEO II V GUILHERME'!Q14</f>
        <v>99</v>
      </c>
      <c r="Q41" s="402">
        <f t="shared" si="39"/>
        <v>0.23750000000000004</v>
      </c>
      <c r="R41" s="440" t="e">
        <f>'CEO II V GUILHERME'!#REF!</f>
        <v>#REF!</v>
      </c>
      <c r="S41" s="441" t="e">
        <f t="shared" si="35"/>
        <v>#REF!</v>
      </c>
    </row>
    <row r="42" spans="1:19" x14ac:dyDescent="0.25">
      <c r="A42" s="37" t="s">
        <v>227</v>
      </c>
      <c r="B42" s="663" t="s">
        <v>228</v>
      </c>
      <c r="C42" s="664"/>
      <c r="D42" s="664"/>
      <c r="E42" s="664"/>
      <c r="F42" s="664"/>
      <c r="G42" s="664"/>
      <c r="H42" s="664"/>
      <c r="I42" s="664"/>
      <c r="J42" s="664"/>
      <c r="K42" s="664"/>
      <c r="L42" s="664"/>
      <c r="M42" s="664"/>
      <c r="N42" s="664"/>
      <c r="O42" s="664"/>
      <c r="P42" s="664"/>
      <c r="Q42" s="664"/>
      <c r="R42" s="664"/>
      <c r="S42" s="665"/>
    </row>
    <row r="43" spans="1:19" ht="15" customHeight="1" x14ac:dyDescent="0.25">
      <c r="A43" s="35">
        <v>42</v>
      </c>
      <c r="B43" s="401" t="s">
        <v>229</v>
      </c>
      <c r="C43" s="437">
        <f>'UBS J Brasil'!B9+'UBS V Guilherme'!B7+'UBS V Medeiros'!B9+'UBS Izolina Mazzei'!B9+'UBS Jardim Japão'!B9+'UBS Vila Ede'!B9+'UBS Vila Leonor'!B9+'UBS Vila Sabrina'!B9+'UBS Carandiru'!B9+'UBS Vila Maria P Gnecco'!B9+'UBS Jardim Julieta'!B7</f>
        <v>11046</v>
      </c>
      <c r="D43" s="437">
        <f>'UBS J Brasil'!G9+'UBS V Guilherme'!G7+'UBS V Medeiros'!G9+'UBS Izolina Mazzei'!G9+'UBS Jardim Japão'!G9+'UBS Vila Ede'!G9+'UBS Vila Leonor'!G9+'UBS Vila Sabrina'!G9+'UBS Carandiru'!G9+'UBS Vila Maria P Gnecco'!G9+'UBS Jardim Julieta'!G7</f>
        <v>13937</v>
      </c>
      <c r="E43" s="402">
        <f t="shared" si="36"/>
        <v>0.2617237008871991</v>
      </c>
      <c r="F43" s="437">
        <f>'UBS J Brasil'!I9+'UBS V Guilherme'!I7+'UBS V Medeiros'!I9+'UBS Izolina Mazzei'!I9+'UBS Jardim Japão'!I9+'UBS Vila Ede'!I9+'UBS Vila Leonor'!I9+'UBS Vila Sabrina'!I9+'UBS Carandiru'!I9+'UBS Vila Maria P Gnecco'!I9+'UBS Jardim Julieta'!I7</f>
        <v>12899</v>
      </c>
      <c r="G43" s="402">
        <f t="shared" si="9"/>
        <v>0.16775303277204423</v>
      </c>
      <c r="H43" s="437">
        <f>'UBS J Brasil'!K9+'UBS V Guilherme'!K7+'UBS V Medeiros'!K9+'UBS Izolina Mazzei'!K9+'UBS Jardim Japão'!K9+'UBS Vila Ede'!K9+'UBS Vila Leonor'!K9+'UBS Vila Sabrina'!K9+'UBS Carandiru'!K9+'UBS Vila Maria P Gnecco'!K9+'UBS Jardim Julieta'!K7</f>
        <v>13182</v>
      </c>
      <c r="I43" s="402">
        <f t="shared" ref="I43:I51" si="40">((H43/$C43))-1</f>
        <v>0.19337316675719718</v>
      </c>
      <c r="J43" s="443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K43" s="441" t="e">
        <f t="shared" si="4"/>
        <v>#REF!</v>
      </c>
      <c r="L43" s="437">
        <f>'UBS J Brasil'!M9+'UBS V Guilherme'!M7+'UBS V Medeiros'!M9+'UBS Izolina Mazzei'!M9+'UBS Jardim Japão'!M9+'UBS Vila Ede'!M9+'UBS Vila Leonor'!M9+'UBS Vila Sabrina'!M9+'UBS Carandiru'!M9+'UBS Vila Maria P Gnecco'!M9+'UBS Jardim Julieta'!M7</f>
        <v>14112</v>
      </c>
      <c r="M43" s="402">
        <f t="shared" si="10"/>
        <v>0.27756653992395441</v>
      </c>
      <c r="N43" s="437">
        <f>'UBS J Brasil'!O9+'UBS V Guilherme'!O7+'UBS V Medeiros'!O9+'UBS Izolina Mazzei'!O9+'UBS Jardim Japão'!O9+'UBS Vila Ede'!O9+'UBS Vila Leonor'!O9+'UBS Vila Sabrina'!O9+'UBS Carandiru'!O9+'UBS Vila Maria P Gnecco'!O9+'UBS Jardim Julieta'!O7</f>
        <v>14017</v>
      </c>
      <c r="O43" s="402">
        <f t="shared" ref="O43:O51" si="41">((N43/$C43))-1</f>
        <v>0.26896614158971577</v>
      </c>
      <c r="P43" s="437">
        <f>'UBS J Brasil'!Q9+'UBS V Guilherme'!Q7+'UBS V Medeiros'!Q9+'UBS Izolina Mazzei'!Q9+'UBS Jardim Japão'!Q9+'UBS Vila Ede'!Q9+'UBS Vila Leonor'!Q9+'UBS Vila Sabrina'!Q9+'UBS Carandiru'!Q9+'UBS Vila Maria P Gnecco'!Q9+'UBS Jardim Julieta'!Q7</f>
        <v>15114</v>
      </c>
      <c r="Q43" s="402">
        <f t="shared" ref="Q43:Q51" si="42">((P43/$C43))-1</f>
        <v>0.36827810972297659</v>
      </c>
      <c r="R43" s="443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S43" s="441" t="e">
        <f t="shared" ref="S43:S51" si="43">((R43/($C43*3)))-1</f>
        <v>#REF!</v>
      </c>
    </row>
    <row r="44" spans="1:19" ht="15" customHeight="1" x14ac:dyDescent="0.25">
      <c r="A44" s="35">
        <v>31</v>
      </c>
      <c r="B44" s="401" t="s">
        <v>230</v>
      </c>
      <c r="C44" s="432">
        <v>8153</v>
      </c>
      <c r="D44" s="433">
        <f>'UBS J Brasil'!G12+'UBS V Guilherme'!G10+'UBS V Medeiros'!G12+'UBS Izolina Mazzei'!G12+'UBS Jardim Japão'!G11+'UBS Vila Ede'!G12+'UBS Vila Leonor'!G11+'UBS Vila Sabrina'!G11+'UBS Carandiru'!G13+'UBS Vila Maria P Gnecco'!G11+'UBS Jardim Julieta'!G9</f>
        <v>5721</v>
      </c>
      <c r="E44" s="402">
        <f t="shared" si="36"/>
        <v>-0.29829510609591559</v>
      </c>
      <c r="F44" s="433">
        <f>'UBS J Brasil'!I12+'UBS V Guilherme'!I10+'UBS V Medeiros'!I12+'UBS Izolina Mazzei'!I12+'UBS Jardim Japão'!I11+'UBS Vila Ede'!I12+'UBS Vila Leonor'!I11+'UBS Vila Sabrina'!I11+'UBS Carandiru'!I13+'UBS Vila Maria P Gnecco'!I11+'UBS Jardim Julieta'!I9</f>
        <v>5187</v>
      </c>
      <c r="G44" s="402">
        <f t="shared" si="9"/>
        <v>-0.363792469029805</v>
      </c>
      <c r="H44" s="433">
        <f>'UBS J Brasil'!K12+'UBS V Guilherme'!K10+'UBS V Medeiros'!K12+'UBS Izolina Mazzei'!K12+'UBS Jardim Japão'!K11+'UBS Vila Ede'!K12+'UBS Vila Leonor'!K11+'UBS Vila Sabrina'!K11+'UBS Carandiru'!K13+'UBS Vila Maria P Gnecco'!K11+'UBS Jardim Julieta'!K9</f>
        <v>5626</v>
      </c>
      <c r="I44" s="402">
        <f t="shared" si="40"/>
        <v>-0.30994725867778727</v>
      </c>
      <c r="J44" s="440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K44" s="441" t="e">
        <f t="shared" si="4"/>
        <v>#REF!</v>
      </c>
      <c r="L44" s="433">
        <f>'UBS J Brasil'!M12+'UBS V Guilherme'!M10+'UBS V Medeiros'!M12+'UBS Izolina Mazzei'!M12+'UBS Jardim Japão'!M11+'UBS Vila Ede'!M12+'UBS Vila Leonor'!M11+'UBS Vila Sabrina'!M11+'UBS Carandiru'!M13+'UBS Vila Maria P Gnecco'!M11+'UBS Jardim Julieta'!M9</f>
        <v>5472</v>
      </c>
      <c r="M44" s="402">
        <f t="shared" si="10"/>
        <v>-0.32883601128418982</v>
      </c>
      <c r="N44" s="433">
        <f>'UBS J Brasil'!O12+'UBS V Guilherme'!O10+'UBS V Medeiros'!O12+'UBS Izolina Mazzei'!O12+'UBS Jardim Japão'!O11+'UBS Vila Ede'!O12+'UBS Vila Leonor'!O11+'UBS Vila Sabrina'!O11+'UBS Carandiru'!O13+'UBS Vila Maria P Gnecco'!O11+'UBS Jardim Julieta'!O9</f>
        <v>4895</v>
      </c>
      <c r="O44" s="402">
        <f t="shared" si="41"/>
        <v>-0.3996075064393475</v>
      </c>
      <c r="P44" s="433">
        <f>'UBS J Brasil'!Q12+'UBS V Guilherme'!Q10+'UBS V Medeiros'!Q12+'UBS Izolina Mazzei'!Q12+'UBS Jardim Japão'!Q11+'UBS Vila Ede'!Q12+'UBS Vila Leonor'!Q11+'UBS Vila Sabrina'!Q11+'UBS Carandiru'!Q13+'UBS Vila Maria P Gnecco'!Q11+'UBS Jardim Julieta'!Q9</f>
        <v>6295</v>
      </c>
      <c r="Q44" s="402">
        <f t="shared" si="42"/>
        <v>-0.22789157365386969</v>
      </c>
      <c r="R44" s="440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S44" s="441" t="e">
        <f t="shared" si="43"/>
        <v>#REF!</v>
      </c>
    </row>
    <row r="45" spans="1:19" ht="15" customHeight="1" x14ac:dyDescent="0.25">
      <c r="A45" s="35">
        <v>31</v>
      </c>
      <c r="B45" s="371" t="s">
        <v>231</v>
      </c>
      <c r="C45" s="432">
        <v>8153</v>
      </c>
      <c r="D45" s="433">
        <f>'UBS J Brasil'!G10+'UBS V Guilherme'!G8+'UBS V Medeiros'!G10+'UBS Izolina Mazzei'!G10+'UBS Jardim Japão'!G10+'UBS Vila Ede'!G10+'UBS Vila Leonor'!G10+'UBS Vila Sabrina'!G10+'UBS Carandiru'!G10+'UBS Vila Maria P Gnecco'!G10+'UBS Jardim Julieta'!G8</f>
        <v>7505</v>
      </c>
      <c r="E45" s="402">
        <f t="shared" si="36"/>
        <v>-7.9479946032135373E-2</v>
      </c>
      <c r="F45" s="433">
        <f>'UBS J Brasil'!I10+'UBS V Guilherme'!I8+'UBS V Medeiros'!I10+'UBS Izolina Mazzei'!I10+'UBS Jardim Japão'!I10+'UBS Vila Ede'!I10+'UBS Vila Leonor'!I10+'UBS Vila Sabrina'!I10+'UBS Carandiru'!I10+'UBS Vila Maria P Gnecco'!I10+'UBS Jardim Julieta'!I8</f>
        <v>6703</v>
      </c>
      <c r="G45" s="402">
        <f t="shared" si="9"/>
        <v>-0.17784864467067341</v>
      </c>
      <c r="H45" s="433">
        <f>'UBS J Brasil'!K10+'UBS V Guilherme'!K8+'UBS V Medeiros'!K10+'UBS Izolina Mazzei'!K10+'UBS Jardim Japão'!K10+'UBS Vila Ede'!K10+'UBS Vila Leonor'!K10+'UBS Vila Sabrina'!K10+'UBS Carandiru'!K10+'UBS Vila Maria P Gnecco'!K10+'UBS Jardim Julieta'!K8</f>
        <v>6332</v>
      </c>
      <c r="I45" s="402">
        <f t="shared" si="40"/>
        <v>-0.22335336685882501</v>
      </c>
      <c r="J45" s="440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K45" s="441" t="e">
        <f t="shared" si="4"/>
        <v>#REF!</v>
      </c>
      <c r="L45" s="433">
        <f>'UBS J Brasil'!M10+'UBS V Guilherme'!M8+'UBS V Medeiros'!M10+'UBS Izolina Mazzei'!M10+'UBS Jardim Japão'!M10+'UBS Vila Ede'!M10+'UBS Vila Leonor'!M10+'UBS Vila Sabrina'!M10+'UBS Carandiru'!M10+'UBS Vila Maria P Gnecco'!M10+'UBS Jardim Julieta'!M8</f>
        <v>6522</v>
      </c>
      <c r="M45" s="402">
        <f t="shared" si="10"/>
        <v>-0.20004906169508152</v>
      </c>
      <c r="N45" s="433">
        <f>'UBS J Brasil'!O10+'UBS V Guilherme'!O8+'UBS V Medeiros'!O10+'UBS Izolina Mazzei'!O10+'UBS Jardim Japão'!O10+'UBS Vila Ede'!O10+'UBS Vila Leonor'!O10+'UBS Vila Sabrina'!O10+'UBS Carandiru'!O10+'UBS Vila Maria P Gnecco'!O10+'UBS Jardim Julieta'!O8</f>
        <v>6526</v>
      </c>
      <c r="O45" s="402">
        <f t="shared" si="41"/>
        <v>-0.19955844474426587</v>
      </c>
      <c r="P45" s="433">
        <f>'UBS J Brasil'!Q10+'UBS V Guilherme'!Q8+'UBS V Medeiros'!Q10+'UBS Izolina Mazzei'!Q10+'UBS Jardim Japão'!Q10+'UBS Vila Ede'!Q10+'UBS Vila Leonor'!Q10+'UBS Vila Sabrina'!Q10+'UBS Carandiru'!Q10+'UBS Vila Maria P Gnecco'!Q10+'UBS Jardim Julieta'!Q8</f>
        <v>7066</v>
      </c>
      <c r="Q45" s="402">
        <f t="shared" si="42"/>
        <v>-0.1333251563841531</v>
      </c>
      <c r="R45" s="440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S45" s="441" t="e">
        <f t="shared" si="43"/>
        <v>#REF!</v>
      </c>
    </row>
    <row r="46" spans="1:19" ht="15" customHeight="1" x14ac:dyDescent="0.25">
      <c r="A46" s="35">
        <v>5</v>
      </c>
      <c r="B46" s="371" t="s">
        <v>232</v>
      </c>
      <c r="C46" s="432">
        <v>625</v>
      </c>
      <c r="D46" s="433">
        <f>'UBS J Brasil'!G11+'UBS V Guilherme'!G9+'UBS V Medeiros'!G11+'UBS Carandiru'!G11</f>
        <v>1179</v>
      </c>
      <c r="E46" s="402">
        <f t="shared" si="36"/>
        <v>0.88640000000000008</v>
      </c>
      <c r="F46" s="433">
        <f>'UBS J Brasil'!I11+'UBS V Guilherme'!I9+'UBS V Medeiros'!I11+'UBS Carandiru'!I11</f>
        <v>1062</v>
      </c>
      <c r="G46" s="402">
        <f t="shared" si="9"/>
        <v>0.69920000000000004</v>
      </c>
      <c r="H46" s="433">
        <f>'UBS J Brasil'!K11+'UBS V Guilherme'!K9+'UBS V Medeiros'!K11+'UBS Carandiru'!K11</f>
        <v>883</v>
      </c>
      <c r="I46" s="402">
        <f t="shared" si="40"/>
        <v>0.41280000000000006</v>
      </c>
      <c r="J46" s="440" t="e">
        <f>'UBS J Brasil'!#REF!+'UBS V Guilherme'!#REF!+'UBS V Medeiros'!#REF!+'UBS Carandiru'!#REF!</f>
        <v>#REF!</v>
      </c>
      <c r="K46" s="441" t="e">
        <f t="shared" si="4"/>
        <v>#REF!</v>
      </c>
      <c r="L46" s="433">
        <f>'UBS J Brasil'!M11+'UBS V Guilherme'!M9+'UBS V Medeiros'!M11+'UBS Carandiru'!M11</f>
        <v>1215</v>
      </c>
      <c r="M46" s="402">
        <f t="shared" si="10"/>
        <v>0.94399999999999995</v>
      </c>
      <c r="N46" s="433">
        <f>'UBS J Brasil'!O11+'UBS V Guilherme'!O9+'UBS V Medeiros'!O11+'UBS Carandiru'!O11</f>
        <v>1082</v>
      </c>
      <c r="O46" s="402">
        <f t="shared" si="41"/>
        <v>0.73120000000000007</v>
      </c>
      <c r="P46" s="433">
        <f>'UBS J Brasil'!Q11+'UBS V Guilherme'!Q9+'UBS V Medeiros'!Q11+'UBS Carandiru'!Q11</f>
        <v>787</v>
      </c>
      <c r="Q46" s="402">
        <f t="shared" si="42"/>
        <v>0.2592000000000001</v>
      </c>
      <c r="R46" s="440" t="e">
        <f>'UBS J Brasil'!#REF!+'UBS V Guilherme'!#REF!+'UBS V Medeiros'!#REF!+'UBS Carandiru'!#REF!</f>
        <v>#REF!</v>
      </c>
      <c r="S46" s="441" t="e">
        <f t="shared" si="43"/>
        <v>#REF!</v>
      </c>
    </row>
    <row r="47" spans="1:19" ht="15" customHeight="1" x14ac:dyDescent="0.25">
      <c r="A47" s="35">
        <v>0.5</v>
      </c>
      <c r="B47" s="371" t="s">
        <v>233</v>
      </c>
      <c r="C47" s="432">
        <v>100</v>
      </c>
      <c r="D47" s="433">
        <f>'UBS Carandiru'!G14</f>
        <v>88</v>
      </c>
      <c r="E47" s="402">
        <f t="shared" si="36"/>
        <v>-0.12</v>
      </c>
      <c r="F47" s="433">
        <f>'UBS Carandiru'!I14</f>
        <v>107</v>
      </c>
      <c r="G47" s="402">
        <f t="shared" si="9"/>
        <v>7.0000000000000062E-2</v>
      </c>
      <c r="H47" s="433">
        <f>'UBS Carandiru'!K14</f>
        <v>79</v>
      </c>
      <c r="I47" s="402">
        <f t="shared" si="40"/>
        <v>-0.20999999999999996</v>
      </c>
      <c r="J47" s="440" t="e">
        <f>'UBS Carandiru'!#REF!</f>
        <v>#REF!</v>
      </c>
      <c r="K47" s="441" t="e">
        <f t="shared" si="4"/>
        <v>#REF!</v>
      </c>
      <c r="L47" s="433">
        <f>'UBS Carandiru'!M14</f>
        <v>98</v>
      </c>
      <c r="M47" s="402">
        <f t="shared" si="10"/>
        <v>-2.0000000000000018E-2</v>
      </c>
      <c r="N47" s="433">
        <f>'UBS Carandiru'!O14</f>
        <v>55</v>
      </c>
      <c r="O47" s="402">
        <f t="shared" si="41"/>
        <v>-0.44999999999999996</v>
      </c>
      <c r="P47" s="433">
        <f>'UBS Carandiru'!Q14</f>
        <v>0</v>
      </c>
      <c r="Q47" s="402">
        <f t="shared" si="42"/>
        <v>-1</v>
      </c>
      <c r="R47" s="440" t="e">
        <f>'UBS Carandiru'!#REF!</f>
        <v>#REF!</v>
      </c>
      <c r="S47" s="441" t="e">
        <f t="shared" si="43"/>
        <v>#REF!</v>
      </c>
    </row>
    <row r="48" spans="1:19" ht="15" customHeight="1" x14ac:dyDescent="0.25">
      <c r="A48" s="35">
        <v>1</v>
      </c>
      <c r="B48" s="371" t="s">
        <v>234</v>
      </c>
      <c r="C48" s="432">
        <v>125</v>
      </c>
      <c r="D48" s="433">
        <f>'UBS Carandiru'!G12</f>
        <v>227</v>
      </c>
      <c r="E48" s="402">
        <f t="shared" si="36"/>
        <v>0.81600000000000006</v>
      </c>
      <c r="F48" s="433">
        <f>'UBS Carandiru'!I12</f>
        <v>205</v>
      </c>
      <c r="G48" s="402">
        <f t="shared" si="9"/>
        <v>0.6399999999999999</v>
      </c>
      <c r="H48" s="433">
        <f>'UBS Carandiru'!K12</f>
        <v>206</v>
      </c>
      <c r="I48" s="402">
        <f t="shared" si="40"/>
        <v>0.64799999999999991</v>
      </c>
      <c r="J48" s="440" t="e">
        <f>'UBS Carandiru'!#REF!</f>
        <v>#REF!</v>
      </c>
      <c r="K48" s="441" t="e">
        <f t="shared" si="4"/>
        <v>#REF!</v>
      </c>
      <c r="L48" s="433">
        <f>'UBS Carandiru'!M12</f>
        <v>209</v>
      </c>
      <c r="M48" s="402">
        <f t="shared" si="10"/>
        <v>0.67199999999999993</v>
      </c>
      <c r="N48" s="433">
        <f>'UBS Carandiru'!O12</f>
        <v>227</v>
      </c>
      <c r="O48" s="402">
        <f t="shared" si="41"/>
        <v>0.81600000000000006</v>
      </c>
      <c r="P48" s="433">
        <f>'UBS Carandiru'!Q12</f>
        <v>234</v>
      </c>
      <c r="Q48" s="402">
        <f t="shared" si="42"/>
        <v>0.87200000000000011</v>
      </c>
      <c r="R48" s="440" t="e">
        <f>'UBS Carandiru'!#REF!</f>
        <v>#REF!</v>
      </c>
      <c r="S48" s="441" t="e">
        <f t="shared" si="43"/>
        <v>#REF!</v>
      </c>
    </row>
    <row r="49" spans="1:19" ht="15" customHeight="1" x14ac:dyDescent="0.25">
      <c r="A49" s="35"/>
      <c r="B49" s="371" t="s">
        <v>267</v>
      </c>
      <c r="C49" s="432">
        <v>140</v>
      </c>
      <c r="D49" s="433">
        <f>'UBS Izolina Mazzei'!G11</f>
        <v>126</v>
      </c>
      <c r="E49" s="402">
        <f t="shared" si="36"/>
        <v>-9.9999999999999978E-2</v>
      </c>
      <c r="F49" s="433">
        <f>'UBS Izolina Mazzei'!I11</f>
        <v>93</v>
      </c>
      <c r="G49" s="402">
        <f t="shared" si="9"/>
        <v>-0.33571428571428574</v>
      </c>
      <c r="H49" s="433">
        <f>'UBS Izolina Mazzei'!K11</f>
        <v>95</v>
      </c>
      <c r="I49" s="402">
        <f t="shared" si="40"/>
        <v>-0.3214285714285714</v>
      </c>
      <c r="J49" s="440" t="e">
        <f>'UBS Izolina Mazzei'!#REF!</f>
        <v>#REF!</v>
      </c>
      <c r="K49" s="441" t="e">
        <f t="shared" si="4"/>
        <v>#REF!</v>
      </c>
      <c r="L49" s="433">
        <f>'UBS Izolina Mazzei'!M11</f>
        <v>143</v>
      </c>
      <c r="M49" s="402">
        <f t="shared" si="10"/>
        <v>2.1428571428571352E-2</v>
      </c>
      <c r="N49" s="433">
        <f>'UBS Izolina Mazzei'!O11</f>
        <v>120</v>
      </c>
      <c r="O49" s="402">
        <f t="shared" si="41"/>
        <v>-0.1428571428571429</v>
      </c>
      <c r="P49" s="433">
        <f>'UBS Izolina Mazzei'!Q11</f>
        <v>122</v>
      </c>
      <c r="Q49" s="402">
        <f t="shared" si="42"/>
        <v>-0.12857142857142856</v>
      </c>
      <c r="R49" s="440" t="e">
        <f>'UBS Izolina Mazzei'!#REF!</f>
        <v>#REF!</v>
      </c>
      <c r="S49" s="441" t="e">
        <f t="shared" si="43"/>
        <v>#REF!</v>
      </c>
    </row>
    <row r="50" spans="1:19" ht="15" customHeight="1" x14ac:dyDescent="0.25">
      <c r="A50" s="35">
        <v>57</v>
      </c>
      <c r="B50" s="371" t="s">
        <v>235</v>
      </c>
      <c r="C50" s="432">
        <v>6327</v>
      </c>
      <c r="D50" s="433">
        <f>'UBS J Brasil'!G7+'UBS V Medeiros'!G7+'UBS Izolina Mazzei'!G7+'UBS Jardim Japão'!G7+'UBS Vila Ede'!G7+'UBS Vila Leonor'!G7+'UBS Vila Sabrina'!G7+'UBS Carandiru'!G7+'UBS Vila Maria P Gnecco'!G7</f>
        <v>5453</v>
      </c>
      <c r="E50" s="402">
        <f t="shared" si="36"/>
        <v>-0.13813813813813813</v>
      </c>
      <c r="F50" s="433">
        <f>'UBS J Brasil'!I7+'UBS V Medeiros'!I7+'UBS Izolina Mazzei'!I7+'UBS Jardim Japão'!I7+'UBS Vila Ede'!I7+'UBS Vila Leonor'!I7+'UBS Vila Sabrina'!I7+'UBS Carandiru'!I7+'UBS Vila Maria P Gnecco'!I7</f>
        <v>4972</v>
      </c>
      <c r="G50" s="402">
        <f t="shared" si="9"/>
        <v>-0.21416152995100368</v>
      </c>
      <c r="H50" s="433">
        <f>'UBS J Brasil'!K7+'UBS V Medeiros'!K7+'UBS Izolina Mazzei'!K7+'UBS Jardim Japão'!K7+'UBS Vila Ede'!K7+'UBS Vila Leonor'!K7+'UBS Vila Sabrina'!K7+'UBS Carandiru'!K7+'UBS Vila Maria P Gnecco'!K7</f>
        <v>5257</v>
      </c>
      <c r="I50" s="402">
        <f t="shared" si="40"/>
        <v>-0.16911648490595854</v>
      </c>
      <c r="J50" s="440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K50" s="441" t="e">
        <f t="shared" si="4"/>
        <v>#REF!</v>
      </c>
      <c r="L50" s="433">
        <f>'UBS J Brasil'!M7+'UBS V Medeiros'!M7+'UBS Izolina Mazzei'!M7+'UBS Jardim Japão'!M7+'UBS Vila Ede'!M7+'UBS Vila Leonor'!M7+'UBS Vila Sabrina'!M7+'UBS Carandiru'!M7+'UBS Vila Maria P Gnecco'!M7</f>
        <v>6415</v>
      </c>
      <c r="M50" s="402">
        <f t="shared" si="10"/>
        <v>1.3908645487592963E-2</v>
      </c>
      <c r="N50" s="433">
        <f>'UBS J Brasil'!O7+'UBS V Medeiros'!O7+'UBS Izolina Mazzei'!O7+'UBS Jardim Japão'!O7+'UBS Vila Ede'!O7+'UBS Vila Leonor'!O7+'UBS Vila Sabrina'!O7+'UBS Carandiru'!O7+'UBS Vila Maria P Gnecco'!O7</f>
        <v>6471</v>
      </c>
      <c r="O50" s="402">
        <f t="shared" si="41"/>
        <v>2.2759601706970223E-2</v>
      </c>
      <c r="P50" s="433">
        <f>'UBS J Brasil'!Q7+'UBS V Medeiros'!Q7+'UBS Izolina Mazzei'!Q7+'UBS Jardim Japão'!Q7+'UBS Vila Ede'!Q7+'UBS Vila Leonor'!Q7+'UBS Vila Sabrina'!Q7+'UBS Carandiru'!Q7+'UBS Vila Maria P Gnecco'!Q7</f>
        <v>6938</v>
      </c>
      <c r="Q50" s="402">
        <f t="shared" si="42"/>
        <v>9.6570254464991345E-2</v>
      </c>
      <c r="R50" s="440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S50" s="441" t="e">
        <f t="shared" si="43"/>
        <v>#REF!</v>
      </c>
    </row>
    <row r="51" spans="1:19" ht="15" customHeight="1" x14ac:dyDescent="0.25">
      <c r="A51" s="28"/>
      <c r="B51" s="371" t="s">
        <v>236</v>
      </c>
      <c r="C51" s="432">
        <v>25308</v>
      </c>
      <c r="D51" s="433">
        <f>'UBS J Brasil'!G8+'UBS V Medeiros'!G8+'UBS Izolina Mazzei'!G8+'UBS Jardim Japão'!G8+'UBS Vila Ede'!G8+'UBS Vila Leonor'!G8+'UBS Vila Sabrina'!G8+'UBS Carandiru'!G8+'UBS Vila Maria P Gnecco'!G8</f>
        <v>22022</v>
      </c>
      <c r="E51" s="402">
        <f t="shared" si="36"/>
        <v>-0.1298403666824719</v>
      </c>
      <c r="F51" s="433">
        <f>'UBS J Brasil'!I8+'UBS V Medeiros'!I8+'UBS Izolina Mazzei'!I8+'UBS Jardim Japão'!I8+'UBS Vila Ede'!I8+'UBS Vila Leonor'!I8+'UBS Vila Sabrina'!I8+'UBS Carandiru'!I8+'UBS Vila Maria P Gnecco'!I8</f>
        <v>17386</v>
      </c>
      <c r="G51" s="402">
        <f t="shared" si="9"/>
        <v>-0.31302354986565517</v>
      </c>
      <c r="H51" s="433">
        <f>'UBS J Brasil'!K8+'UBS V Medeiros'!K8+'UBS Izolina Mazzei'!K8+'UBS Jardim Japão'!K8+'UBS Vila Ede'!K8+'UBS Vila Leonor'!K8+'UBS Vila Sabrina'!K8+'UBS Carandiru'!K8+'UBS Vila Maria P Gnecco'!K8</f>
        <v>19807</v>
      </c>
      <c r="I51" s="402">
        <f t="shared" si="40"/>
        <v>-0.2173620989410463</v>
      </c>
      <c r="J51" s="440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K51" s="441" t="e">
        <f t="shared" si="4"/>
        <v>#REF!</v>
      </c>
      <c r="L51" s="433">
        <f>'UBS J Brasil'!M8+'UBS V Medeiros'!M8+'UBS Izolina Mazzei'!M8+'UBS Jardim Japão'!M8+'UBS Vila Ede'!M8+'UBS Vila Leonor'!M8+'UBS Vila Sabrina'!M8+'UBS Carandiru'!M8+'UBS Vila Maria P Gnecco'!M8</f>
        <v>22467</v>
      </c>
      <c r="M51" s="402">
        <f t="shared" si="10"/>
        <v>-0.11225699383594123</v>
      </c>
      <c r="N51" s="433">
        <f>'UBS J Brasil'!O8+'UBS V Medeiros'!O8+'UBS Izolina Mazzei'!O8+'UBS Jardim Japão'!O8+'UBS Vila Ede'!O8+'UBS Vila Leonor'!O8+'UBS Vila Sabrina'!O8+'UBS Carandiru'!O8+'UBS Vila Maria P Gnecco'!O8</f>
        <v>23800</v>
      </c>
      <c r="O51" s="402">
        <f t="shared" si="41"/>
        <v>-5.9585901691164844E-2</v>
      </c>
      <c r="P51" s="433">
        <f>'UBS J Brasil'!Q8+'UBS V Medeiros'!Q8+'UBS Izolina Mazzei'!Q8+'UBS Jardim Japão'!Q8+'UBS Vila Ede'!Q8+'UBS Vila Leonor'!Q8+'UBS Vila Sabrina'!Q8+'UBS Carandiru'!Q8+'UBS Vila Maria P Gnecco'!Q8</f>
        <v>25537</v>
      </c>
      <c r="Q51" s="402">
        <f t="shared" si="42"/>
        <v>9.0485222064169424E-3</v>
      </c>
      <c r="R51" s="440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S51" s="441" t="e">
        <f t="shared" si="43"/>
        <v>#REF!</v>
      </c>
    </row>
    <row r="52" spans="1:19" x14ac:dyDescent="0.25">
      <c r="B52" s="666" t="s">
        <v>237</v>
      </c>
      <c r="C52" s="667"/>
      <c r="D52" s="667"/>
      <c r="E52" s="667"/>
      <c r="F52" s="667"/>
      <c r="G52" s="667"/>
      <c r="H52" s="667"/>
      <c r="I52" s="667"/>
      <c r="J52" s="667"/>
      <c r="K52" s="667"/>
      <c r="L52" s="667"/>
      <c r="M52" s="667"/>
      <c r="N52" s="667"/>
      <c r="O52" s="667"/>
      <c r="P52" s="667"/>
      <c r="Q52" s="667"/>
      <c r="R52" s="667"/>
      <c r="S52" s="668"/>
    </row>
    <row r="53" spans="1:19" ht="15" customHeight="1" x14ac:dyDescent="0.25">
      <c r="B53" s="404" t="s">
        <v>238</v>
      </c>
      <c r="C53" s="436">
        <v>10</v>
      </c>
      <c r="D53" s="436"/>
      <c r="E53" s="436"/>
      <c r="F53" s="436"/>
      <c r="G53" s="436"/>
      <c r="H53" s="436"/>
      <c r="I53" s="436"/>
      <c r="J53" s="442"/>
      <c r="K53" s="442"/>
      <c r="L53" s="436"/>
      <c r="M53" s="436"/>
      <c r="N53" s="436"/>
      <c r="O53" s="436"/>
      <c r="P53" s="436"/>
      <c r="Q53" s="436"/>
      <c r="R53" s="442"/>
      <c r="S53" s="442"/>
    </row>
    <row r="54" spans="1:19" ht="15" customHeight="1" x14ac:dyDescent="0.25">
      <c r="A54">
        <v>9</v>
      </c>
      <c r="B54" s="401" t="s">
        <v>239</v>
      </c>
      <c r="C54" s="438">
        <v>3744</v>
      </c>
      <c r="D54" s="437">
        <f>'Pque N Mundo I'!G8+'Pque N Mundo II'!G8</f>
        <v>3348</v>
      </c>
      <c r="E54" s="402">
        <f t="shared" ref="E54:E64" si="44">((D54/$C54))-1</f>
        <v>-0.10576923076923073</v>
      </c>
      <c r="F54" s="437">
        <f>'Pque N Mundo I'!I8+'Pque N Mundo II'!I8</f>
        <v>3556</v>
      </c>
      <c r="G54" s="402">
        <f t="shared" ref="G54:G64" si="45">((F54/$C54))-1</f>
        <v>-5.0213675213675257E-2</v>
      </c>
      <c r="H54" s="437">
        <f>'Pque N Mundo I'!K8+'Pque N Mundo II'!K8</f>
        <v>3659</v>
      </c>
      <c r="I54" s="402">
        <f t="shared" ref="I54:I64" si="46">((H54/$C54))-1</f>
        <v>-2.2702991452991483E-2</v>
      </c>
      <c r="J54" s="443" t="e">
        <f>'Pque N Mundo I'!#REF!+'Pque N Mundo II'!#REF!</f>
        <v>#REF!</v>
      </c>
      <c r="K54" s="441" t="e">
        <f t="shared" ref="K54:K64" si="47">((J54/($C54*3)))-1</f>
        <v>#REF!</v>
      </c>
      <c r="L54" s="437">
        <f>'Pque N Mundo I'!M8+'Pque N Mundo II'!M8</f>
        <v>4062</v>
      </c>
      <c r="M54" s="402">
        <f t="shared" ref="M54:M64" si="48">((L54/$C54))-1</f>
        <v>8.4935897435897356E-2</v>
      </c>
      <c r="N54" s="437">
        <f>'Pque N Mundo I'!O8+'Pque N Mundo II'!O8</f>
        <v>3767</v>
      </c>
      <c r="O54" s="402">
        <f t="shared" ref="O54:O64" si="49">((N54/$C54))-1</f>
        <v>6.1431623931624824E-3</v>
      </c>
      <c r="P54" s="437">
        <f>'Pque N Mundo I'!Q8+'Pque N Mundo II'!Q8</f>
        <v>4242</v>
      </c>
      <c r="Q54" s="402">
        <f t="shared" ref="Q54:Q64" si="50">((P54/$C54))-1</f>
        <v>0.13301282051282048</v>
      </c>
      <c r="R54" s="443" t="e">
        <f>'Pque N Mundo I'!#REF!+'Pque N Mundo II'!#REF!</f>
        <v>#REF!</v>
      </c>
      <c r="S54" s="441" t="e">
        <f t="shared" ref="S54:S64" si="51">((R54/($C54*3)))-1</f>
        <v>#REF!</v>
      </c>
    </row>
    <row r="55" spans="1:19" ht="15" customHeight="1" x14ac:dyDescent="0.25">
      <c r="A55">
        <v>9</v>
      </c>
      <c r="B55" s="401" t="s">
        <v>240</v>
      </c>
      <c r="C55" s="438">
        <v>1404</v>
      </c>
      <c r="D55" s="437">
        <f>'Pque N Mundo I'!G9+'Pque N Mundo II'!G9</f>
        <v>1621</v>
      </c>
      <c r="E55" s="402">
        <f t="shared" si="44"/>
        <v>0.15455840455840453</v>
      </c>
      <c r="F55" s="437">
        <f>'Pque N Mundo I'!I9+'Pque N Mundo II'!I9</f>
        <v>1683</v>
      </c>
      <c r="G55" s="402">
        <f t="shared" si="45"/>
        <v>0.19871794871794868</v>
      </c>
      <c r="H55" s="437">
        <f>'Pque N Mundo I'!K9+'Pque N Mundo II'!K9</f>
        <v>1421</v>
      </c>
      <c r="I55" s="402">
        <f t="shared" si="46"/>
        <v>1.2108262108262213E-2</v>
      </c>
      <c r="J55" s="443" t="e">
        <f>'Pque N Mundo I'!#REF!+'Pque N Mundo II'!#REF!</f>
        <v>#REF!</v>
      </c>
      <c r="K55" s="441" t="e">
        <f t="shared" si="47"/>
        <v>#REF!</v>
      </c>
      <c r="L55" s="437">
        <f>'Pque N Mundo I'!M9+'Pque N Mundo II'!M9</f>
        <v>1280</v>
      </c>
      <c r="M55" s="402">
        <f t="shared" si="48"/>
        <v>-8.8319088319088301E-2</v>
      </c>
      <c r="N55" s="437">
        <f>'Pque N Mundo I'!O9+'Pque N Mundo II'!O9</f>
        <v>1200</v>
      </c>
      <c r="O55" s="402">
        <f t="shared" si="49"/>
        <v>-0.14529914529914534</v>
      </c>
      <c r="P55" s="437">
        <f>'Pque N Mundo I'!Q9+'Pque N Mundo II'!Q9</f>
        <v>1555</v>
      </c>
      <c r="Q55" s="402">
        <f t="shared" si="50"/>
        <v>0.10754985754985746</v>
      </c>
      <c r="R55" s="443" t="e">
        <f>'Pque N Mundo I'!#REF!+'Pque N Mundo II'!#REF!</f>
        <v>#REF!</v>
      </c>
      <c r="S55" s="441" t="e">
        <f t="shared" si="51"/>
        <v>#REF!</v>
      </c>
    </row>
    <row r="56" spans="1:19" ht="15" customHeight="1" x14ac:dyDescent="0.25">
      <c r="A56">
        <v>54</v>
      </c>
      <c r="B56" s="401" t="s">
        <v>241</v>
      </c>
      <c r="C56" s="438">
        <v>10800</v>
      </c>
      <c r="D56" s="437">
        <f>'Pque N Mundo I'!G7+'Pque N Mundo II'!G7</f>
        <v>10691</v>
      </c>
      <c r="E56" s="402">
        <f t="shared" si="44"/>
        <v>-1.0092592592592542E-2</v>
      </c>
      <c r="F56" s="437">
        <f>'Pque N Mundo I'!I7+'Pque N Mundo II'!I7</f>
        <v>10624</v>
      </c>
      <c r="G56" s="402">
        <f t="shared" si="45"/>
        <v>-1.6296296296296253E-2</v>
      </c>
      <c r="H56" s="437">
        <f>'Pque N Mundo I'!K7+'Pque N Mundo II'!K7</f>
        <v>10327</v>
      </c>
      <c r="I56" s="402">
        <f t="shared" si="46"/>
        <v>-4.3796296296296333E-2</v>
      </c>
      <c r="J56" s="443" t="e">
        <f>'Pque N Mundo I'!#REF!+'Pque N Mundo II'!#REF!</f>
        <v>#REF!</v>
      </c>
      <c r="K56" s="441" t="e">
        <f t="shared" si="47"/>
        <v>#REF!</v>
      </c>
      <c r="L56" s="437">
        <f>'Pque N Mundo I'!M7+'Pque N Mundo II'!M7</f>
        <v>10589</v>
      </c>
      <c r="M56" s="402">
        <f t="shared" si="48"/>
        <v>-1.9537037037037019E-2</v>
      </c>
      <c r="N56" s="437">
        <f>'Pque N Mundo I'!O7+'Pque N Mundo II'!O7</f>
        <v>10824</v>
      </c>
      <c r="O56" s="402">
        <f t="shared" si="49"/>
        <v>2.2222222222221255E-3</v>
      </c>
      <c r="P56" s="437">
        <f>'Pque N Mundo I'!Q7+'Pque N Mundo II'!Q7</f>
        <v>10598</v>
      </c>
      <c r="Q56" s="402">
        <f t="shared" si="50"/>
        <v>-1.8703703703703667E-2</v>
      </c>
      <c r="R56" s="443" t="e">
        <f>'Pque N Mundo I'!#REF!+'Pque N Mundo II'!#REF!</f>
        <v>#REF!</v>
      </c>
      <c r="S56" s="441" t="e">
        <f t="shared" si="51"/>
        <v>#REF!</v>
      </c>
    </row>
    <row r="57" spans="1:19" ht="15" customHeight="1" x14ac:dyDescent="0.25">
      <c r="A57" t="s">
        <v>242</v>
      </c>
      <c r="B57" s="401" t="s">
        <v>243</v>
      </c>
      <c r="C57" s="438">
        <v>416</v>
      </c>
      <c r="D57" s="437">
        <f>'Pque N Mundo II'!G10</f>
        <v>782</v>
      </c>
      <c r="E57" s="402">
        <f t="shared" si="44"/>
        <v>0.87980769230769229</v>
      </c>
      <c r="F57" s="437">
        <f>'Pque N Mundo II'!I10</f>
        <v>658</v>
      </c>
      <c r="G57" s="402">
        <f t="shared" si="45"/>
        <v>0.58173076923076916</v>
      </c>
      <c r="H57" s="437">
        <f>'Pque N Mundo II'!K10</f>
        <v>519</v>
      </c>
      <c r="I57" s="402">
        <f t="shared" si="46"/>
        <v>0.24759615384615374</v>
      </c>
      <c r="J57" s="443" t="e">
        <f>'Pque N Mundo II'!#REF!</f>
        <v>#REF!</v>
      </c>
      <c r="K57" s="441" t="e">
        <f t="shared" si="47"/>
        <v>#REF!</v>
      </c>
      <c r="L57" s="437">
        <f>'Pque N Mundo II'!M10</f>
        <v>752</v>
      </c>
      <c r="M57" s="402">
        <f t="shared" si="48"/>
        <v>0.80769230769230771</v>
      </c>
      <c r="N57" s="437">
        <f>'Pque N Mundo II'!O10</f>
        <v>698</v>
      </c>
      <c r="O57" s="402">
        <f t="shared" si="49"/>
        <v>0.67788461538461542</v>
      </c>
      <c r="P57" s="437">
        <f>'Pque N Mundo II'!Q10</f>
        <v>483</v>
      </c>
      <c r="Q57" s="402">
        <f t="shared" si="50"/>
        <v>0.16105769230769229</v>
      </c>
      <c r="R57" s="443" t="e">
        <f>'Pque N Mundo II'!#REF!</f>
        <v>#REF!</v>
      </c>
      <c r="S57" s="441" t="e">
        <f t="shared" si="51"/>
        <v>#REF!</v>
      </c>
    </row>
    <row r="58" spans="1:19" ht="15" customHeight="1" x14ac:dyDescent="0.25">
      <c r="B58" s="401" t="s">
        <v>244</v>
      </c>
      <c r="C58" s="438">
        <v>1664</v>
      </c>
      <c r="D58" s="437">
        <f>'Pque N Mundo II'!G11</f>
        <v>2028</v>
      </c>
      <c r="E58" s="402">
        <f t="shared" si="44"/>
        <v>0.21875</v>
      </c>
      <c r="F58" s="437">
        <f>'Pque N Mundo II'!I11</f>
        <v>1495</v>
      </c>
      <c r="G58" s="402">
        <f t="shared" si="45"/>
        <v>-0.1015625</v>
      </c>
      <c r="H58" s="437">
        <f>'Pque N Mundo II'!K11</f>
        <v>1543</v>
      </c>
      <c r="I58" s="402">
        <f t="shared" si="46"/>
        <v>-7.2716346153846145E-2</v>
      </c>
      <c r="J58" s="443" t="e">
        <f>'Pque N Mundo II'!#REF!</f>
        <v>#REF!</v>
      </c>
      <c r="K58" s="441" t="e">
        <f t="shared" si="47"/>
        <v>#REF!</v>
      </c>
      <c r="L58" s="437">
        <f>'Pque N Mundo II'!M11</f>
        <v>1688</v>
      </c>
      <c r="M58" s="402">
        <f t="shared" si="48"/>
        <v>1.4423076923076872E-2</v>
      </c>
      <c r="N58" s="437">
        <f>'Pque N Mundo II'!O11</f>
        <v>1751</v>
      </c>
      <c r="O58" s="402">
        <f t="shared" si="49"/>
        <v>5.2283653846153744E-2</v>
      </c>
      <c r="P58" s="437">
        <f>'Pque N Mundo II'!Q11</f>
        <v>1331</v>
      </c>
      <c r="Q58" s="402">
        <f t="shared" si="50"/>
        <v>-0.20012019230769229</v>
      </c>
      <c r="R58" s="443" t="e">
        <f>'Pque N Mundo II'!#REF!</f>
        <v>#REF!</v>
      </c>
      <c r="S58" s="441" t="e">
        <f t="shared" si="51"/>
        <v>#REF!</v>
      </c>
    </row>
    <row r="59" spans="1:19" ht="15" customHeight="1" x14ac:dyDescent="0.25">
      <c r="A59">
        <v>4</v>
      </c>
      <c r="B59" s="401" t="s">
        <v>229</v>
      </c>
      <c r="C59" s="438">
        <v>1052</v>
      </c>
      <c r="D59" s="437">
        <f>'Pque N Mundo I'!G12+'Pque N Mundo II'!G14</f>
        <v>486</v>
      </c>
      <c r="E59" s="402">
        <f t="shared" si="44"/>
        <v>-0.53802281368821292</v>
      </c>
      <c r="F59" s="437">
        <f>'Pque N Mundo I'!I12+'Pque N Mundo II'!I14</f>
        <v>276</v>
      </c>
      <c r="G59" s="402">
        <f t="shared" si="45"/>
        <v>-0.73764258555133078</v>
      </c>
      <c r="H59" s="437">
        <f>'Pque N Mundo I'!K12+'Pque N Mundo II'!K14</f>
        <v>548</v>
      </c>
      <c r="I59" s="402">
        <f t="shared" si="46"/>
        <v>-0.47908745247148288</v>
      </c>
      <c r="J59" s="443" t="e">
        <f>'Pque N Mundo I'!#REF!+'Pque N Mundo II'!#REF!</f>
        <v>#REF!</v>
      </c>
      <c r="K59" s="441" t="e">
        <f t="shared" si="47"/>
        <v>#REF!</v>
      </c>
      <c r="L59" s="437">
        <f>'Pque N Mundo I'!M12+'Pque N Mundo II'!M14</f>
        <v>825</v>
      </c>
      <c r="M59" s="402">
        <f t="shared" si="48"/>
        <v>-0.21577946768060841</v>
      </c>
      <c r="N59" s="437">
        <f>'Pque N Mundo I'!O12+'Pque N Mundo II'!O14</f>
        <v>819</v>
      </c>
      <c r="O59" s="402">
        <f t="shared" si="49"/>
        <v>-0.22148288973384034</v>
      </c>
      <c r="P59" s="437">
        <f>'Pque N Mundo I'!Q12+'Pque N Mundo II'!Q14</f>
        <v>878</v>
      </c>
      <c r="Q59" s="402">
        <f t="shared" si="50"/>
        <v>-0.16539923954372626</v>
      </c>
      <c r="R59" s="443" t="e">
        <f>'Pque N Mundo I'!#REF!+'Pque N Mundo II'!#REF!</f>
        <v>#REF!</v>
      </c>
      <c r="S59" s="441" t="e">
        <f t="shared" si="51"/>
        <v>#REF!</v>
      </c>
    </row>
    <row r="60" spans="1:19" ht="15" customHeight="1" x14ac:dyDescent="0.25">
      <c r="A60">
        <v>4</v>
      </c>
      <c r="B60" s="401" t="s">
        <v>230</v>
      </c>
      <c r="C60" s="438">
        <v>1052</v>
      </c>
      <c r="D60" s="437">
        <f>'Pque N Mundo I'!G15+'Pque N Mundo II'!G16</f>
        <v>803</v>
      </c>
      <c r="E60" s="402">
        <f t="shared" si="44"/>
        <v>-0.23669201520912553</v>
      </c>
      <c r="F60" s="437">
        <f>'Pque N Mundo I'!I15+'Pque N Mundo II'!I16</f>
        <v>845</v>
      </c>
      <c r="G60" s="402">
        <f t="shared" si="45"/>
        <v>-0.19676806083650189</v>
      </c>
      <c r="H60" s="437">
        <f>'Pque N Mundo I'!K15+'Pque N Mundo II'!K16</f>
        <v>854</v>
      </c>
      <c r="I60" s="402">
        <f t="shared" si="46"/>
        <v>-0.18821292775665399</v>
      </c>
      <c r="J60" s="443" t="e">
        <f>'Pque N Mundo I'!#REF!+'Pque N Mundo II'!#REF!</f>
        <v>#REF!</v>
      </c>
      <c r="K60" s="441" t="e">
        <f t="shared" si="47"/>
        <v>#REF!</v>
      </c>
      <c r="L60" s="437">
        <f>'Pque N Mundo I'!M15+'Pque N Mundo II'!M16</f>
        <v>893</v>
      </c>
      <c r="M60" s="402">
        <f t="shared" si="48"/>
        <v>-0.15114068441064643</v>
      </c>
      <c r="N60" s="437">
        <f>'Pque N Mundo I'!O15+'Pque N Mundo II'!O16</f>
        <v>886</v>
      </c>
      <c r="O60" s="402">
        <f t="shared" si="49"/>
        <v>-0.15779467680608361</v>
      </c>
      <c r="P60" s="437">
        <f>'Pque N Mundo I'!Q15+'Pque N Mundo II'!Q16</f>
        <v>895</v>
      </c>
      <c r="Q60" s="402">
        <f t="shared" si="50"/>
        <v>-0.14923954372623571</v>
      </c>
      <c r="R60" s="443" t="e">
        <f>'Pque N Mundo I'!#REF!+'Pque N Mundo II'!#REF!</f>
        <v>#REF!</v>
      </c>
      <c r="S60" s="441" t="e">
        <f t="shared" si="51"/>
        <v>#REF!</v>
      </c>
    </row>
    <row r="61" spans="1:19" ht="15" customHeight="1" x14ac:dyDescent="0.25">
      <c r="A61">
        <v>4</v>
      </c>
      <c r="B61" s="401" t="s">
        <v>231</v>
      </c>
      <c r="C61" s="438">
        <v>1052</v>
      </c>
      <c r="D61" s="437">
        <f>'Pque N Mundo I'!G13+'Pque N Mundo II'!G15</f>
        <v>636</v>
      </c>
      <c r="E61" s="402">
        <f t="shared" si="44"/>
        <v>-0.3954372623574145</v>
      </c>
      <c r="F61" s="437">
        <f>'Pque N Mundo I'!I13+'Pque N Mundo II'!I15</f>
        <v>594</v>
      </c>
      <c r="G61" s="402">
        <f t="shared" si="45"/>
        <v>-0.43536121673003803</v>
      </c>
      <c r="H61" s="437">
        <f>'Pque N Mundo I'!K13+'Pque N Mundo II'!K15</f>
        <v>701</v>
      </c>
      <c r="I61" s="402">
        <f t="shared" si="46"/>
        <v>-0.33365019011406849</v>
      </c>
      <c r="J61" s="443" t="e">
        <f>'Pque N Mundo I'!#REF!+'Pque N Mundo II'!#REF!</f>
        <v>#REF!</v>
      </c>
      <c r="K61" s="441" t="e">
        <f t="shared" si="47"/>
        <v>#REF!</v>
      </c>
      <c r="L61" s="437">
        <f>'Pque N Mundo I'!M13+'Pque N Mundo II'!M15</f>
        <v>665</v>
      </c>
      <c r="M61" s="402">
        <f t="shared" si="48"/>
        <v>-0.36787072243346008</v>
      </c>
      <c r="N61" s="437">
        <f>'Pque N Mundo I'!O13+'Pque N Mundo II'!O15</f>
        <v>537</v>
      </c>
      <c r="O61" s="402">
        <f t="shared" si="49"/>
        <v>-0.48954372623574149</v>
      </c>
      <c r="P61" s="437">
        <f>'Pque N Mundo I'!Q13+'Pque N Mundo II'!Q15</f>
        <v>725</v>
      </c>
      <c r="Q61" s="402">
        <f t="shared" si="50"/>
        <v>-0.31083650190114065</v>
      </c>
      <c r="R61" s="443" t="e">
        <f>'Pque N Mundo I'!#REF!+'Pque N Mundo II'!#REF!</f>
        <v>#REF!</v>
      </c>
      <c r="S61" s="441" t="e">
        <f t="shared" si="51"/>
        <v>#REF!</v>
      </c>
    </row>
    <row r="62" spans="1:19" ht="15" customHeight="1" x14ac:dyDescent="0.25">
      <c r="A62">
        <v>3</v>
      </c>
      <c r="B62" s="401" t="s">
        <v>232</v>
      </c>
      <c r="C62" s="438">
        <v>250</v>
      </c>
      <c r="D62" s="437">
        <f>'Pque N Mundo I'!G14</f>
        <v>265</v>
      </c>
      <c r="E62" s="402">
        <f t="shared" si="44"/>
        <v>6.0000000000000053E-2</v>
      </c>
      <c r="F62" s="437">
        <f>'Pque N Mundo I'!I14</f>
        <v>283</v>
      </c>
      <c r="G62" s="402">
        <f t="shared" si="45"/>
        <v>0.1319999999999999</v>
      </c>
      <c r="H62" s="437">
        <f>'Pque N Mundo I'!K14</f>
        <v>319</v>
      </c>
      <c r="I62" s="402">
        <f t="shared" si="46"/>
        <v>0.27600000000000002</v>
      </c>
      <c r="J62" s="443" t="e">
        <f>'Pque N Mundo I'!#REF!</f>
        <v>#REF!</v>
      </c>
      <c r="K62" s="441" t="e">
        <f t="shared" si="47"/>
        <v>#REF!</v>
      </c>
      <c r="L62" s="437">
        <f>'Pque N Mundo I'!M14</f>
        <v>395</v>
      </c>
      <c r="M62" s="402">
        <f t="shared" si="48"/>
        <v>0.58000000000000007</v>
      </c>
      <c r="N62" s="437">
        <f>'Pque N Mundo I'!O14</f>
        <v>288</v>
      </c>
      <c r="O62" s="402">
        <f t="shared" si="49"/>
        <v>0.15199999999999991</v>
      </c>
      <c r="P62" s="437">
        <f>'Pque N Mundo I'!Q14</f>
        <v>194</v>
      </c>
      <c r="Q62" s="402">
        <f t="shared" si="50"/>
        <v>-0.22399999999999998</v>
      </c>
      <c r="R62" s="443" t="e">
        <f>'Pque N Mundo I'!#REF!</f>
        <v>#REF!</v>
      </c>
      <c r="S62" s="441" t="e">
        <f t="shared" si="51"/>
        <v>#REF!</v>
      </c>
    </row>
    <row r="63" spans="1:19" ht="15" customHeight="1" x14ac:dyDescent="0.25">
      <c r="A63" t="s">
        <v>245</v>
      </c>
      <c r="B63" s="401" t="s">
        <v>246</v>
      </c>
      <c r="C63" s="438">
        <v>1221</v>
      </c>
      <c r="D63" s="437">
        <f>'Pque N Mundo I'!G10+'Pque N Mundo II'!G12</f>
        <v>1351</v>
      </c>
      <c r="E63" s="402">
        <f t="shared" si="44"/>
        <v>0.10647010647010657</v>
      </c>
      <c r="F63" s="437">
        <f>'Pque N Mundo I'!I10+'Pque N Mundo II'!I12</f>
        <v>1064</v>
      </c>
      <c r="G63" s="402">
        <f t="shared" si="45"/>
        <v>-0.12858312858312859</v>
      </c>
      <c r="H63" s="437">
        <f>'Pque N Mundo I'!K10+'Pque N Mundo II'!K12</f>
        <v>1081</v>
      </c>
      <c r="I63" s="402">
        <f t="shared" si="46"/>
        <v>-0.11466011466011461</v>
      </c>
      <c r="J63" s="443" t="e">
        <f>'Pque N Mundo I'!#REF!+'Pque N Mundo II'!#REF!</f>
        <v>#REF!</v>
      </c>
      <c r="K63" s="441" t="e">
        <f t="shared" si="47"/>
        <v>#REF!</v>
      </c>
      <c r="L63" s="437">
        <f>'Pque N Mundo I'!M10+'Pque N Mundo II'!M12</f>
        <v>1542</v>
      </c>
      <c r="M63" s="402">
        <f t="shared" si="48"/>
        <v>0.2628992628992628</v>
      </c>
      <c r="N63" s="437">
        <f>'Pque N Mundo I'!O10+'Pque N Mundo II'!O12</f>
        <v>1609</v>
      </c>
      <c r="O63" s="402">
        <f t="shared" si="49"/>
        <v>0.31777231777231774</v>
      </c>
      <c r="P63" s="437">
        <f>'Pque N Mundo I'!Q10+'Pque N Mundo II'!Q12</f>
        <v>1396</v>
      </c>
      <c r="Q63" s="402">
        <f t="shared" si="50"/>
        <v>0.14332514332514323</v>
      </c>
      <c r="R63" s="443" t="e">
        <f>'Pque N Mundo I'!#REF!+'Pque N Mundo II'!#REF!</f>
        <v>#REF!</v>
      </c>
      <c r="S63" s="441" t="e">
        <f t="shared" si="51"/>
        <v>#REF!</v>
      </c>
    </row>
    <row r="64" spans="1:19" ht="31.5" customHeight="1" x14ac:dyDescent="0.25">
      <c r="B64" s="401" t="s">
        <v>247</v>
      </c>
      <c r="C64" s="438">
        <v>4884</v>
      </c>
      <c r="D64" s="437">
        <f>'Pque N Mundo I'!G11+'Pque N Mundo II'!G13</f>
        <v>4861</v>
      </c>
      <c r="E64" s="402">
        <f t="shared" si="44"/>
        <v>-4.7092547092547621E-3</v>
      </c>
      <c r="F64" s="437">
        <f>'Pque N Mundo I'!I11+'Pque N Mundo II'!I13</f>
        <v>3180</v>
      </c>
      <c r="G64" s="402">
        <f t="shared" si="45"/>
        <v>-0.34889434889434889</v>
      </c>
      <c r="H64" s="437">
        <f>'Pque N Mundo I'!K11+'Pque N Mundo II'!K13</f>
        <v>3991</v>
      </c>
      <c r="I64" s="402">
        <f t="shared" si="46"/>
        <v>-0.18284193284193284</v>
      </c>
      <c r="J64" s="443" t="e">
        <f>'Pque N Mundo I'!#REF!+'Pque N Mundo II'!#REF!</f>
        <v>#REF!</v>
      </c>
      <c r="K64" s="441" t="e">
        <f t="shared" si="47"/>
        <v>#REF!</v>
      </c>
      <c r="L64" s="437">
        <f>'Pque N Mundo I'!M11+'Pque N Mundo II'!M13</f>
        <v>4507</v>
      </c>
      <c r="M64" s="402">
        <f t="shared" si="48"/>
        <v>-7.7190827190827149E-2</v>
      </c>
      <c r="N64" s="437">
        <f>'Pque N Mundo I'!O11+'Pque N Mundo II'!O13</f>
        <v>4864</v>
      </c>
      <c r="O64" s="402">
        <f t="shared" si="49"/>
        <v>-4.0950040950040734E-3</v>
      </c>
      <c r="P64" s="437">
        <f>'Pque N Mundo I'!Q11+'Pque N Mundo II'!Q13</f>
        <v>4456</v>
      </c>
      <c r="Q64" s="402">
        <f t="shared" si="50"/>
        <v>-8.7633087633087636E-2</v>
      </c>
      <c r="R64" s="443" t="e">
        <f>'Pque N Mundo I'!#REF!+'Pque N Mundo II'!#REF!</f>
        <v>#REF!</v>
      </c>
      <c r="S64" s="441" t="e">
        <f t="shared" si="51"/>
        <v>#REF!</v>
      </c>
    </row>
    <row r="65" spans="1:19" ht="15" customHeight="1" x14ac:dyDescent="0.25">
      <c r="B65" s="663" t="s">
        <v>248</v>
      </c>
      <c r="C65" s="664"/>
      <c r="D65" s="664"/>
      <c r="E65" s="664"/>
      <c r="F65" s="664"/>
      <c r="G65" s="664"/>
      <c r="H65" s="664"/>
      <c r="I65" s="664"/>
      <c r="J65" s="664"/>
      <c r="K65" s="664"/>
      <c r="L65" s="664"/>
      <c r="M65" s="664"/>
      <c r="N65" s="664"/>
      <c r="O65" s="664"/>
      <c r="P65" s="664"/>
      <c r="Q65" s="664"/>
      <c r="R65" s="664"/>
      <c r="S65" s="665"/>
    </row>
    <row r="66" spans="1:19" ht="15" customHeight="1" x14ac:dyDescent="0.25">
      <c r="A66" t="s">
        <v>249</v>
      </c>
      <c r="B66" s="405" t="s">
        <v>250</v>
      </c>
      <c r="C66" s="417" t="s">
        <v>251</v>
      </c>
      <c r="D66" s="439"/>
      <c r="E66" s="439"/>
      <c r="F66" s="439"/>
      <c r="G66" s="439"/>
      <c r="H66" s="439"/>
      <c r="I66" s="439"/>
      <c r="J66" s="444"/>
      <c r="K66" s="444"/>
      <c r="L66" s="439"/>
      <c r="M66" s="439"/>
      <c r="N66" s="439"/>
      <c r="O66" s="439"/>
      <c r="P66" s="439"/>
      <c r="Q66" s="439"/>
      <c r="R66" s="444"/>
      <c r="S66" s="444"/>
    </row>
    <row r="67" spans="1:19" ht="15" customHeight="1" x14ac:dyDescent="0.25">
      <c r="A67" t="s">
        <v>252</v>
      </c>
      <c r="B67" s="405" t="s">
        <v>253</v>
      </c>
      <c r="C67" s="417" t="s">
        <v>251</v>
      </c>
      <c r="D67" s="439"/>
      <c r="E67" s="439"/>
      <c r="F67" s="439"/>
      <c r="G67" s="439"/>
      <c r="H67" s="439"/>
      <c r="I67" s="439"/>
      <c r="J67" s="444"/>
      <c r="K67" s="444"/>
      <c r="L67" s="439"/>
      <c r="M67" s="439"/>
      <c r="N67" s="439"/>
      <c r="O67" s="439"/>
      <c r="P67" s="439"/>
      <c r="Q67" s="439"/>
      <c r="R67" s="444"/>
      <c r="S67" s="444"/>
    </row>
    <row r="68" spans="1:19" x14ac:dyDescent="0.25">
      <c r="A68" t="s">
        <v>254</v>
      </c>
      <c r="B68" s="663" t="s">
        <v>255</v>
      </c>
      <c r="C68" s="664"/>
      <c r="D68" s="664"/>
      <c r="E68" s="664"/>
      <c r="F68" s="664"/>
      <c r="G68" s="664"/>
      <c r="H68" s="664"/>
      <c r="I68" s="664"/>
      <c r="J68" s="664"/>
      <c r="K68" s="664"/>
      <c r="L68" s="664"/>
      <c r="M68" s="664"/>
      <c r="N68" s="664"/>
      <c r="O68" s="664"/>
      <c r="P68" s="664"/>
      <c r="Q68" s="664"/>
      <c r="R68" s="664"/>
      <c r="S68" s="665"/>
    </row>
    <row r="69" spans="1:19" ht="15" customHeight="1" x14ac:dyDescent="0.25">
      <c r="A69" t="s">
        <v>256</v>
      </c>
      <c r="B69" s="401" t="s">
        <v>257</v>
      </c>
      <c r="C69" s="432">
        <v>528</v>
      </c>
      <c r="D69" s="433">
        <f>'URSI CARANDIRU'!G7</f>
        <v>251</v>
      </c>
      <c r="E69" s="402">
        <f t="shared" ref="E69:E75" si="52">((D69/$C69))-1</f>
        <v>-0.52462121212121215</v>
      </c>
      <c r="F69" s="433">
        <f>'URSI CARANDIRU'!I7</f>
        <v>226</v>
      </c>
      <c r="G69" s="402">
        <f t="shared" ref="G69:G75" si="53">((F69/$C69))-1</f>
        <v>-0.57196969696969702</v>
      </c>
      <c r="H69" s="433">
        <f>'URSI CARANDIRU'!K7</f>
        <v>241</v>
      </c>
      <c r="I69" s="402">
        <f t="shared" ref="I69:I75" si="54">((H69/$C69))-1</f>
        <v>-0.54356060606060608</v>
      </c>
      <c r="J69" s="440" t="e">
        <f>'URSI CARANDIRU'!#REF!</f>
        <v>#REF!</v>
      </c>
      <c r="K69" s="441" t="e">
        <f t="shared" ref="K69:K75" si="55">((J69/($C69*3)))-1</f>
        <v>#REF!</v>
      </c>
      <c r="L69" s="433">
        <f>'URSI CARANDIRU'!M7</f>
        <v>291</v>
      </c>
      <c r="M69" s="402">
        <f t="shared" ref="M69:M75" si="56">((L69/$C69))-1</f>
        <v>-0.44886363636363635</v>
      </c>
      <c r="N69" s="433">
        <f>'URSI CARANDIRU'!O7</f>
        <v>210</v>
      </c>
      <c r="O69" s="402">
        <f t="shared" ref="O69:O75" si="57">((N69/$C69))-1</f>
        <v>-0.60227272727272729</v>
      </c>
      <c r="P69" s="433">
        <f>'URSI CARANDIRU'!Q7</f>
        <v>289</v>
      </c>
      <c r="Q69" s="402">
        <f t="shared" ref="Q69:Q75" si="58">((P69/$C69))-1</f>
        <v>-0.45265151515151514</v>
      </c>
      <c r="R69" s="440" t="e">
        <f>'URSI CARANDIRU'!#REF!</f>
        <v>#REF!</v>
      </c>
      <c r="S69" s="441" t="e">
        <f t="shared" ref="S69:S75" si="59">((R69/($C69*3)))-1</f>
        <v>#REF!</v>
      </c>
    </row>
    <row r="70" spans="1:19" ht="15" customHeight="1" x14ac:dyDescent="0.25">
      <c r="A70">
        <v>1</v>
      </c>
      <c r="B70" s="401" t="s">
        <v>258</v>
      </c>
      <c r="C70" s="432">
        <v>100</v>
      </c>
      <c r="D70" s="433">
        <f>'URSI CARANDIRU'!G10</f>
        <v>84</v>
      </c>
      <c r="E70" s="402">
        <f t="shared" si="52"/>
        <v>-0.16000000000000003</v>
      </c>
      <c r="F70" s="433">
        <f>'URSI CARANDIRU'!I10</f>
        <v>104</v>
      </c>
      <c r="G70" s="402">
        <f t="shared" si="53"/>
        <v>4.0000000000000036E-2</v>
      </c>
      <c r="H70" s="433">
        <f>'URSI CARANDIRU'!K10</f>
        <v>57</v>
      </c>
      <c r="I70" s="402">
        <f t="shared" si="54"/>
        <v>-0.43000000000000005</v>
      </c>
      <c r="J70" s="440" t="e">
        <f>'URSI CARANDIRU'!#REF!</f>
        <v>#REF!</v>
      </c>
      <c r="K70" s="441" t="e">
        <f t="shared" si="55"/>
        <v>#REF!</v>
      </c>
      <c r="L70" s="433">
        <f>'URSI CARANDIRU'!M10</f>
        <v>0</v>
      </c>
      <c r="M70" s="402">
        <f t="shared" si="56"/>
        <v>-1</v>
      </c>
      <c r="N70" s="433">
        <f>'URSI CARANDIRU'!O10</f>
        <v>42</v>
      </c>
      <c r="O70" s="402">
        <f t="shared" si="57"/>
        <v>-0.58000000000000007</v>
      </c>
      <c r="P70" s="433">
        <f>'URSI CARANDIRU'!Q10</f>
        <v>127</v>
      </c>
      <c r="Q70" s="402">
        <f t="shared" si="58"/>
        <v>0.27</v>
      </c>
      <c r="R70" s="440" t="e">
        <f>'URSI CARANDIRU'!#REF!</f>
        <v>#REF!</v>
      </c>
      <c r="S70" s="441" t="e">
        <f t="shared" si="59"/>
        <v>#REF!</v>
      </c>
    </row>
    <row r="71" spans="1:19" ht="15" customHeight="1" x14ac:dyDescent="0.25">
      <c r="A71">
        <v>1</v>
      </c>
      <c r="B71" s="370" t="s">
        <v>259</v>
      </c>
      <c r="C71" s="432">
        <v>100</v>
      </c>
      <c r="D71" s="433">
        <f>'URSI CARANDIRU'!G13</f>
        <v>8</v>
      </c>
      <c r="E71" s="402">
        <f t="shared" si="52"/>
        <v>-0.92</v>
      </c>
      <c r="F71" s="433">
        <f>'URSI CARANDIRU'!I13</f>
        <v>20</v>
      </c>
      <c r="G71" s="402">
        <f t="shared" si="53"/>
        <v>-0.8</v>
      </c>
      <c r="H71" s="433">
        <f>'URSI CARANDIRU'!K13</f>
        <v>86</v>
      </c>
      <c r="I71" s="402">
        <f t="shared" si="54"/>
        <v>-0.14000000000000001</v>
      </c>
      <c r="J71" s="440" t="e">
        <f>'URSI CARANDIRU'!#REF!</f>
        <v>#REF!</v>
      </c>
      <c r="K71" s="441" t="e">
        <f t="shared" si="55"/>
        <v>#REF!</v>
      </c>
      <c r="L71" s="433">
        <f>'URSI CARANDIRU'!M13</f>
        <v>68</v>
      </c>
      <c r="M71" s="402">
        <f t="shared" si="56"/>
        <v>-0.31999999999999995</v>
      </c>
      <c r="N71" s="433">
        <f>'URSI CARANDIRU'!O13</f>
        <v>100</v>
      </c>
      <c r="O71" s="402">
        <f t="shared" si="57"/>
        <v>0</v>
      </c>
      <c r="P71" s="433">
        <f>'URSI CARANDIRU'!Q13</f>
        <v>38</v>
      </c>
      <c r="Q71" s="402">
        <f t="shared" si="58"/>
        <v>-0.62</v>
      </c>
      <c r="R71" s="440" t="e">
        <f>'URSI CARANDIRU'!#REF!</f>
        <v>#REF!</v>
      </c>
      <c r="S71" s="441" t="e">
        <f t="shared" si="59"/>
        <v>#REF!</v>
      </c>
    </row>
    <row r="72" spans="1:19" ht="15" customHeight="1" x14ac:dyDescent="0.25">
      <c r="A72">
        <v>2</v>
      </c>
      <c r="B72" s="401" t="s">
        <v>260</v>
      </c>
      <c r="C72" s="432">
        <v>264</v>
      </c>
      <c r="D72" s="433">
        <f>'URSI CARANDIRU'!G9</f>
        <v>319</v>
      </c>
      <c r="E72" s="402">
        <f t="shared" si="52"/>
        <v>0.20833333333333326</v>
      </c>
      <c r="F72" s="433">
        <f>'URSI CARANDIRU'!I9</f>
        <v>256</v>
      </c>
      <c r="G72" s="402">
        <f t="shared" si="53"/>
        <v>-3.0303030303030276E-2</v>
      </c>
      <c r="H72" s="433">
        <f>'URSI CARANDIRU'!K9</f>
        <v>260</v>
      </c>
      <c r="I72" s="402">
        <f t="shared" si="54"/>
        <v>-1.5151515151515138E-2</v>
      </c>
      <c r="J72" s="440" t="e">
        <f>'URSI CARANDIRU'!#REF!</f>
        <v>#REF!</v>
      </c>
      <c r="K72" s="441" t="e">
        <f t="shared" si="55"/>
        <v>#REF!</v>
      </c>
      <c r="L72" s="433">
        <f>'URSI CARANDIRU'!M9</f>
        <v>174</v>
      </c>
      <c r="M72" s="402">
        <f t="shared" si="56"/>
        <v>-0.34090909090909094</v>
      </c>
      <c r="N72" s="433">
        <f>'URSI CARANDIRU'!O9</f>
        <v>266</v>
      </c>
      <c r="O72" s="402">
        <f t="shared" si="57"/>
        <v>7.575757575757569E-3</v>
      </c>
      <c r="P72" s="433">
        <f>'URSI CARANDIRU'!Q9</f>
        <v>303</v>
      </c>
      <c r="Q72" s="402">
        <f t="shared" si="58"/>
        <v>0.14772727272727271</v>
      </c>
      <c r="R72" s="440" t="e">
        <f>'URSI CARANDIRU'!#REF!</f>
        <v>#REF!</v>
      </c>
      <c r="S72" s="441" t="e">
        <f t="shared" si="59"/>
        <v>#REF!</v>
      </c>
    </row>
    <row r="73" spans="1:19" ht="15" customHeight="1" x14ac:dyDescent="0.25">
      <c r="A73">
        <v>2</v>
      </c>
      <c r="B73" s="401" t="s">
        <v>261</v>
      </c>
      <c r="C73" s="432">
        <v>176</v>
      </c>
      <c r="D73" s="433">
        <f>'URSI CARANDIRU'!G8</f>
        <v>209</v>
      </c>
      <c r="E73" s="402">
        <f t="shared" si="52"/>
        <v>0.1875</v>
      </c>
      <c r="F73" s="433">
        <f>'URSI CARANDIRU'!I8</f>
        <v>154</v>
      </c>
      <c r="G73" s="402">
        <f t="shared" si="53"/>
        <v>-0.125</v>
      </c>
      <c r="H73" s="433">
        <f>'URSI CARANDIRU'!K8</f>
        <v>198</v>
      </c>
      <c r="I73" s="402">
        <f t="shared" si="54"/>
        <v>0.125</v>
      </c>
      <c r="J73" s="440" t="e">
        <f>'URSI CARANDIRU'!#REF!</f>
        <v>#REF!</v>
      </c>
      <c r="K73" s="441" t="e">
        <f t="shared" si="55"/>
        <v>#REF!</v>
      </c>
      <c r="L73" s="433">
        <f>'URSI CARANDIRU'!M8</f>
        <v>202</v>
      </c>
      <c r="M73" s="402">
        <f t="shared" si="56"/>
        <v>0.14772727272727271</v>
      </c>
      <c r="N73" s="433">
        <f>'URSI CARANDIRU'!O8</f>
        <v>192</v>
      </c>
      <c r="O73" s="402">
        <f t="shared" si="57"/>
        <v>9.0909090909090828E-2</v>
      </c>
      <c r="P73" s="433">
        <f>'URSI CARANDIRU'!Q8</f>
        <v>147</v>
      </c>
      <c r="Q73" s="402">
        <f t="shared" si="58"/>
        <v>-0.16477272727272729</v>
      </c>
      <c r="R73" s="440" t="e">
        <f>'URSI CARANDIRU'!#REF!</f>
        <v>#REF!</v>
      </c>
      <c r="S73" s="441" t="e">
        <f t="shared" si="59"/>
        <v>#REF!</v>
      </c>
    </row>
    <row r="74" spans="1:19" ht="15" customHeight="1" x14ac:dyDescent="0.25">
      <c r="A74">
        <v>1</v>
      </c>
      <c r="B74" s="370" t="s">
        <v>262</v>
      </c>
      <c r="C74" s="432">
        <v>100</v>
      </c>
      <c r="D74" s="433">
        <f>'URSI CARANDIRU'!G11</f>
        <v>15</v>
      </c>
      <c r="E74" s="402">
        <f t="shared" si="52"/>
        <v>-0.85</v>
      </c>
      <c r="F74" s="433">
        <f>'URSI CARANDIRU'!I11</f>
        <v>96</v>
      </c>
      <c r="G74" s="402">
        <f t="shared" si="53"/>
        <v>-4.0000000000000036E-2</v>
      </c>
      <c r="H74" s="433">
        <f>'URSI CARANDIRU'!K11</f>
        <v>110</v>
      </c>
      <c r="I74" s="402">
        <f t="shared" si="54"/>
        <v>0.10000000000000009</v>
      </c>
      <c r="J74" s="440" t="e">
        <f>'URSI CARANDIRU'!#REF!</f>
        <v>#REF!</v>
      </c>
      <c r="K74" s="441" t="e">
        <f t="shared" si="55"/>
        <v>#REF!</v>
      </c>
      <c r="L74" s="433">
        <f>'URSI CARANDIRU'!M11</f>
        <v>15</v>
      </c>
      <c r="M74" s="402">
        <f t="shared" si="56"/>
        <v>-0.85</v>
      </c>
      <c r="N74" s="433">
        <f>'URSI CARANDIRU'!O11</f>
        <v>100</v>
      </c>
      <c r="O74" s="402">
        <f t="shared" si="57"/>
        <v>0</v>
      </c>
      <c r="P74" s="433">
        <f>'URSI CARANDIRU'!Q11</f>
        <v>114</v>
      </c>
      <c r="Q74" s="402">
        <f t="shared" si="58"/>
        <v>0.1399999999999999</v>
      </c>
      <c r="R74" s="440" t="e">
        <f>'URSI CARANDIRU'!#REF!</f>
        <v>#REF!</v>
      </c>
      <c r="S74" s="441" t="e">
        <f t="shared" si="59"/>
        <v>#REF!</v>
      </c>
    </row>
    <row r="75" spans="1:19" ht="15" customHeight="1" x14ac:dyDescent="0.25">
      <c r="A75">
        <v>1</v>
      </c>
      <c r="B75" s="401" t="s">
        <v>263</v>
      </c>
      <c r="C75" s="432">
        <v>100</v>
      </c>
      <c r="D75" s="433">
        <f>'URSI CARANDIRU'!G12</f>
        <v>36</v>
      </c>
      <c r="E75" s="402">
        <f t="shared" si="52"/>
        <v>-0.64</v>
      </c>
      <c r="F75" s="433">
        <f>'URSI CARANDIRU'!I12</f>
        <v>73</v>
      </c>
      <c r="G75" s="402">
        <f t="shared" si="53"/>
        <v>-0.27</v>
      </c>
      <c r="H75" s="433">
        <f>'URSI CARANDIRU'!K12</f>
        <v>21</v>
      </c>
      <c r="I75" s="402">
        <f t="shared" si="54"/>
        <v>-0.79</v>
      </c>
      <c r="J75" s="440" t="e">
        <f>'URSI CARANDIRU'!#REF!</f>
        <v>#REF!</v>
      </c>
      <c r="K75" s="441" t="e">
        <f t="shared" si="55"/>
        <v>#REF!</v>
      </c>
      <c r="L75" s="433">
        <f>'URSI CARANDIRU'!M12</f>
        <v>45</v>
      </c>
      <c r="M75" s="402">
        <f t="shared" si="56"/>
        <v>-0.55000000000000004</v>
      </c>
      <c r="N75" s="433">
        <f>'URSI CARANDIRU'!O12</f>
        <v>95</v>
      </c>
      <c r="O75" s="402">
        <f t="shared" si="57"/>
        <v>-5.0000000000000044E-2</v>
      </c>
      <c r="P75" s="433">
        <f>'URSI CARANDIRU'!Q12</f>
        <v>151</v>
      </c>
      <c r="Q75" s="402">
        <f t="shared" si="58"/>
        <v>0.51</v>
      </c>
      <c r="R75" s="440" t="e">
        <f>'URSI CARANDIRU'!#REF!</f>
        <v>#REF!</v>
      </c>
      <c r="S75" s="441" t="e">
        <f t="shared" si="59"/>
        <v>#REF!</v>
      </c>
    </row>
    <row r="76" spans="1:19" x14ac:dyDescent="0.25">
      <c r="A76" s="38" t="s">
        <v>264</v>
      </c>
      <c r="B76" s="33"/>
      <c r="C76" s="35"/>
      <c r="D76" s="35"/>
      <c r="E76" s="35"/>
      <c r="F76" s="35"/>
      <c r="G76" s="35"/>
      <c r="H76" s="35"/>
      <c r="I76" s="35"/>
      <c r="J76" s="446"/>
      <c r="K76" s="446"/>
      <c r="L76" s="35"/>
      <c r="M76" s="35"/>
    </row>
  </sheetData>
  <mergeCells count="16">
    <mergeCell ref="A1:S1"/>
    <mergeCell ref="A2:S2"/>
    <mergeCell ref="D3:S3"/>
    <mergeCell ref="B5:S5"/>
    <mergeCell ref="B16:S16"/>
    <mergeCell ref="B3:B4"/>
    <mergeCell ref="C3:C4"/>
    <mergeCell ref="B42:S42"/>
    <mergeCell ref="B52:S52"/>
    <mergeCell ref="B65:S65"/>
    <mergeCell ref="B68:S68"/>
    <mergeCell ref="B24:S24"/>
    <mergeCell ref="B26:S26"/>
    <mergeCell ref="B29:S29"/>
    <mergeCell ref="B31:S31"/>
    <mergeCell ref="B33:S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117"/>
  <sheetViews>
    <sheetView workbookViewId="0">
      <pane xSplit="3" ySplit="3" topLeftCell="D4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5" x14ac:dyDescent="0.25"/>
  <cols>
    <col min="1" max="1" width="14.7109375" bestFit="1" customWidth="1"/>
    <col min="2" max="2" width="39.7109375" customWidth="1"/>
    <col min="3" max="3" width="8.140625" style="505" customWidth="1"/>
    <col min="4" max="4" width="8.140625" style="450" bestFit="1" customWidth="1"/>
    <col min="5" max="5" width="6.42578125" style="505" bestFit="1" customWidth="1"/>
    <col min="6" max="6" width="7.7109375" style="450" bestFit="1" customWidth="1"/>
    <col min="7" max="7" width="6.42578125" style="505" bestFit="1" customWidth="1"/>
    <col min="8" max="8" width="8.7109375" style="450" bestFit="1" customWidth="1"/>
    <col min="9" max="9" width="8.7109375" style="505" bestFit="1" customWidth="1"/>
    <col min="10" max="10" width="10" style="505" customWidth="1"/>
    <col min="11" max="11" width="11.28515625" style="505" customWidth="1"/>
    <col min="12" max="12" width="7.5703125" style="450" bestFit="1" customWidth="1"/>
    <col min="13" max="13" width="6.42578125" style="505" bestFit="1" customWidth="1"/>
    <col min="14" max="17" width="9.140625" style="450"/>
    <col min="18" max="18" width="10.42578125" style="450" customWidth="1"/>
    <col min="19" max="19" width="12.140625" style="450" customWidth="1"/>
  </cols>
  <sheetData>
    <row r="1" spans="1:19" ht="15.75" thickBot="1" x14ac:dyDescent="0.3">
      <c r="B1" s="59" t="s">
        <v>332</v>
      </c>
      <c r="C1" s="447"/>
      <c r="D1" s="448"/>
      <c r="E1" s="449"/>
      <c r="F1" s="448"/>
      <c r="G1" s="449"/>
      <c r="H1" s="448"/>
      <c r="I1" s="449"/>
      <c r="J1" s="449"/>
      <c r="K1" s="449"/>
      <c r="L1" s="448"/>
      <c r="M1" s="449"/>
    </row>
    <row r="2" spans="1:19" ht="16.5" thickBot="1" x14ac:dyDescent="0.3">
      <c r="B2" s="675" t="s">
        <v>185</v>
      </c>
      <c r="C2" s="675" t="s">
        <v>281</v>
      </c>
      <c r="D2" s="678">
        <v>2016</v>
      </c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9"/>
    </row>
    <row r="3" spans="1:19" ht="48" thickBot="1" x14ac:dyDescent="0.3">
      <c r="A3" s="33"/>
      <c r="B3" s="676"/>
      <c r="C3" s="677"/>
      <c r="D3" s="55">
        <v>42430</v>
      </c>
      <c r="E3" s="55" t="s">
        <v>282</v>
      </c>
      <c r="F3" s="55">
        <v>42461</v>
      </c>
      <c r="G3" s="414" t="s">
        <v>282</v>
      </c>
      <c r="H3" s="54">
        <v>42491</v>
      </c>
      <c r="I3" s="55" t="s">
        <v>282</v>
      </c>
      <c r="J3" s="57" t="s">
        <v>352</v>
      </c>
      <c r="K3" s="58" t="s">
        <v>356</v>
      </c>
      <c r="L3" s="55">
        <v>42522</v>
      </c>
      <c r="M3" s="56" t="s">
        <v>282</v>
      </c>
      <c r="N3" s="55">
        <v>42552</v>
      </c>
      <c r="O3" s="56" t="s">
        <v>282</v>
      </c>
      <c r="P3" s="55">
        <v>42583</v>
      </c>
      <c r="Q3" s="56" t="s">
        <v>282</v>
      </c>
      <c r="R3" s="57" t="s">
        <v>355</v>
      </c>
      <c r="S3" s="58" t="s">
        <v>357</v>
      </c>
    </row>
    <row r="4" spans="1:19" ht="15" customHeight="1" thickTop="1" x14ac:dyDescent="0.25">
      <c r="A4" t="s">
        <v>272</v>
      </c>
      <c r="B4" s="406" t="s">
        <v>17</v>
      </c>
      <c r="C4" s="451" t="e">
        <f>'Pque N Mundo I'!#REF!+'Pque N Mundo II'!#REF!</f>
        <v>#REF!</v>
      </c>
      <c r="D4" s="453" t="e">
        <f>'Pque N Mundo I'!#REF!+'Pque N Mundo II'!#REF!</f>
        <v>#REF!</v>
      </c>
      <c r="E4" s="452" t="e">
        <f t="shared" ref="E4:E50" si="0">D4-C4</f>
        <v>#REF!</v>
      </c>
      <c r="F4" s="453">
        <v>3</v>
      </c>
      <c r="G4" s="454" t="e">
        <f t="shared" ref="G4:G50" si="1">F4-C4</f>
        <v>#REF!</v>
      </c>
      <c r="H4" s="453" t="e">
        <f>'Pque N Mundo I'!#REF!+'Pque N Mundo II'!#REF!</f>
        <v>#REF!</v>
      </c>
      <c r="I4" s="454" t="e">
        <f t="shared" ref="I4:I35" si="2">H4-C4</f>
        <v>#REF!</v>
      </c>
      <c r="J4" s="455" t="e">
        <f>D4+F4+H4</f>
        <v>#REF!</v>
      </c>
      <c r="K4" s="456" t="e">
        <f>J4-(3*$C4)</f>
        <v>#REF!</v>
      </c>
      <c r="L4" s="453" t="e">
        <f>'Pque N Mundo I'!#REF!+'Pque N Mundo II'!#REF!</f>
        <v>#REF!</v>
      </c>
      <c r="M4" s="457" t="e">
        <f t="shared" ref="M4:M35" si="3">L4-C4</f>
        <v>#REF!</v>
      </c>
      <c r="N4" s="458" t="e">
        <f>'Pque N Mundo I'!#REF!+'Pque N Mundo II'!#REF!</f>
        <v>#REF!</v>
      </c>
      <c r="O4" s="454" t="e">
        <f>N4-$C4</f>
        <v>#REF!</v>
      </c>
      <c r="P4" s="453" t="e">
        <f>'Pque N Mundo I'!#REF!+'Pque N Mundo II'!#REF!</f>
        <v>#REF!</v>
      </c>
      <c r="Q4" s="454" t="e">
        <f>P4-$C4</f>
        <v>#REF!</v>
      </c>
      <c r="R4" s="455" t="e">
        <f>P4+L4+N4</f>
        <v>#REF!</v>
      </c>
      <c r="S4" s="459" t="e">
        <f>R4-(3*$C4)</f>
        <v>#REF!</v>
      </c>
    </row>
    <row r="5" spans="1:19" x14ac:dyDescent="0.25">
      <c r="A5" t="s">
        <v>272</v>
      </c>
      <c r="B5" s="407" t="s">
        <v>18</v>
      </c>
      <c r="C5" s="460" t="e">
        <f>'Pque N Mundo I'!#REF!+'Pque N Mundo II'!#REF!</f>
        <v>#REF!</v>
      </c>
      <c r="D5" s="462" t="e">
        <f>'Pque N Mundo I'!#REF!+'Pque N Mundo II'!#REF!</f>
        <v>#REF!</v>
      </c>
      <c r="E5" s="461" t="e">
        <f t="shared" si="0"/>
        <v>#REF!</v>
      </c>
      <c r="F5" s="462" t="e">
        <f>'Pque N Mundo I'!#REF!+'Pque N Mundo II'!#REF!</f>
        <v>#REF!</v>
      </c>
      <c r="G5" s="463" t="e">
        <f t="shared" si="1"/>
        <v>#REF!</v>
      </c>
      <c r="H5" s="462" t="e">
        <f>'Pque N Mundo I'!#REF!+'Pque N Mundo II'!#REF!</f>
        <v>#REF!</v>
      </c>
      <c r="I5" s="454" t="e">
        <f t="shared" si="2"/>
        <v>#REF!</v>
      </c>
      <c r="J5" s="464" t="e">
        <f t="shared" ref="J5:J68" si="4">D5+F5+H5</f>
        <v>#REF!</v>
      </c>
      <c r="K5" s="465" t="e">
        <f t="shared" ref="K5:K64" si="5">J5-(3*$C5)</f>
        <v>#REF!</v>
      </c>
      <c r="L5" s="462" t="e">
        <f>'Pque N Mundo I'!#REF!+'Pque N Mundo II'!#REF!</f>
        <v>#REF!</v>
      </c>
      <c r="M5" s="463" t="e">
        <f t="shared" si="3"/>
        <v>#REF!</v>
      </c>
      <c r="N5" s="462" t="e">
        <f>'Pque N Mundo I'!#REF!+'Pque N Mundo II'!#REF!</f>
        <v>#REF!</v>
      </c>
      <c r="O5" s="463" t="e">
        <f>N5-$C5</f>
        <v>#REF!</v>
      </c>
      <c r="P5" s="462" t="e">
        <f>'Pque N Mundo I'!#REF!+'Pque N Mundo II'!#REF!</f>
        <v>#REF!</v>
      </c>
      <c r="Q5" s="454" t="e">
        <f t="shared" ref="Q5:Q68" si="6">P5-$C5</f>
        <v>#REF!</v>
      </c>
      <c r="R5" s="464" t="e">
        <f t="shared" ref="R5:R66" si="7">P5+L5+N5</f>
        <v>#REF!</v>
      </c>
      <c r="S5" s="466" t="e">
        <f t="shared" ref="S5:S64" si="8">R5-(3*$C5)</f>
        <v>#REF!</v>
      </c>
    </row>
    <row r="6" spans="1:19" x14ac:dyDescent="0.25">
      <c r="A6" t="s">
        <v>272</v>
      </c>
      <c r="B6" s="407" t="s">
        <v>19</v>
      </c>
      <c r="C6" s="460" t="e">
        <f>'Pque N Mundo I'!#REF!+'Pque N Mundo II'!#REF!</f>
        <v>#REF!</v>
      </c>
      <c r="D6" s="462" t="e">
        <f>'Pque N Mundo I'!#REF!+'Pque N Mundo II'!#REF!</f>
        <v>#REF!</v>
      </c>
      <c r="E6" s="461" t="e">
        <f t="shared" si="0"/>
        <v>#REF!</v>
      </c>
      <c r="F6" s="462" t="e">
        <f>'Pque N Mundo I'!#REF!+'Pque N Mundo II'!#REF!</f>
        <v>#REF!</v>
      </c>
      <c r="G6" s="463" t="e">
        <f t="shared" si="1"/>
        <v>#REF!</v>
      </c>
      <c r="H6" s="462" t="e">
        <f>'Pque N Mundo I'!#REF!+'Pque N Mundo II'!#REF!</f>
        <v>#REF!</v>
      </c>
      <c r="I6" s="454" t="e">
        <f t="shared" si="2"/>
        <v>#REF!</v>
      </c>
      <c r="J6" s="464" t="e">
        <f t="shared" si="4"/>
        <v>#REF!</v>
      </c>
      <c r="K6" s="465" t="e">
        <f t="shared" si="5"/>
        <v>#REF!</v>
      </c>
      <c r="L6" s="462" t="e">
        <f>'Pque N Mundo I'!#REF!+'Pque N Mundo II'!#REF!</f>
        <v>#REF!</v>
      </c>
      <c r="M6" s="463" t="e">
        <f t="shared" si="3"/>
        <v>#REF!</v>
      </c>
      <c r="N6" s="462" t="e">
        <f>'Pque N Mundo I'!#REF!+'Pque N Mundo II'!#REF!</f>
        <v>#REF!</v>
      </c>
      <c r="O6" s="463" t="e">
        <f t="shared" ref="O6:O69" si="9">N6-$C6</f>
        <v>#REF!</v>
      </c>
      <c r="P6" s="462" t="e">
        <f>'Pque N Mundo I'!#REF!+'Pque N Mundo II'!#REF!</f>
        <v>#REF!</v>
      </c>
      <c r="Q6" s="454" t="e">
        <f t="shared" si="6"/>
        <v>#REF!</v>
      </c>
      <c r="R6" s="464" t="e">
        <f t="shared" si="7"/>
        <v>#REF!</v>
      </c>
      <c r="S6" s="466" t="e">
        <f t="shared" si="8"/>
        <v>#REF!</v>
      </c>
    </row>
    <row r="7" spans="1:19" x14ac:dyDescent="0.25">
      <c r="A7" t="s">
        <v>272</v>
      </c>
      <c r="B7" s="407" t="s">
        <v>32</v>
      </c>
      <c r="C7" s="460" t="e">
        <f>'Pque N Mundo II'!#REF!</f>
        <v>#REF!</v>
      </c>
      <c r="D7" s="462" t="e">
        <f>'Pque N Mundo II'!#REF!</f>
        <v>#REF!</v>
      </c>
      <c r="E7" s="461" t="e">
        <f t="shared" si="0"/>
        <v>#REF!</v>
      </c>
      <c r="F7" s="462" t="e">
        <f>'Pque N Mundo II'!#REF!</f>
        <v>#REF!</v>
      </c>
      <c r="G7" s="463" t="e">
        <f t="shared" si="1"/>
        <v>#REF!</v>
      </c>
      <c r="H7" s="462" t="e">
        <f>'Pque N Mundo II'!#REF!</f>
        <v>#REF!</v>
      </c>
      <c r="I7" s="454" t="e">
        <f t="shared" si="2"/>
        <v>#REF!</v>
      </c>
      <c r="J7" s="464" t="e">
        <f t="shared" si="4"/>
        <v>#REF!</v>
      </c>
      <c r="K7" s="465" t="e">
        <f t="shared" si="5"/>
        <v>#REF!</v>
      </c>
      <c r="L7" s="462" t="e">
        <f>'Pque N Mundo II'!#REF!</f>
        <v>#REF!</v>
      </c>
      <c r="M7" s="463" t="e">
        <f t="shared" si="3"/>
        <v>#REF!</v>
      </c>
      <c r="N7" s="462" t="e">
        <f>'Pque N Mundo II'!#REF!</f>
        <v>#REF!</v>
      </c>
      <c r="O7" s="463" t="e">
        <f t="shared" si="9"/>
        <v>#REF!</v>
      </c>
      <c r="P7" s="462" t="e">
        <f>'Pque N Mundo II'!#REF!</f>
        <v>#REF!</v>
      </c>
      <c r="Q7" s="454" t="e">
        <f t="shared" si="6"/>
        <v>#REF!</v>
      </c>
      <c r="R7" s="464" t="e">
        <f t="shared" si="7"/>
        <v>#REF!</v>
      </c>
      <c r="S7" s="466" t="e">
        <f t="shared" si="8"/>
        <v>#REF!</v>
      </c>
    </row>
    <row r="8" spans="1:19" x14ac:dyDescent="0.25">
      <c r="A8" t="s">
        <v>272</v>
      </c>
      <c r="B8" s="407" t="s">
        <v>33</v>
      </c>
      <c r="C8" s="460" t="e">
        <f>'Pque N Mundo I'!#REF!+'Pque N Mundo II'!#REF!</f>
        <v>#REF!</v>
      </c>
      <c r="D8" s="462" t="e">
        <f>'Pque N Mundo I'!#REF!+'Pque N Mundo II'!#REF!</f>
        <v>#REF!</v>
      </c>
      <c r="E8" s="461" t="e">
        <f t="shared" si="0"/>
        <v>#REF!</v>
      </c>
      <c r="F8" s="462" t="e">
        <f>'Pque N Mundo I'!#REF!+'Pque N Mundo II'!#REF!</f>
        <v>#REF!</v>
      </c>
      <c r="G8" s="463" t="e">
        <f t="shared" si="1"/>
        <v>#REF!</v>
      </c>
      <c r="H8" s="462" t="e">
        <f>'Pque N Mundo I'!#REF!+'Pque N Mundo II'!#REF!</f>
        <v>#REF!</v>
      </c>
      <c r="I8" s="454" t="e">
        <f t="shared" si="2"/>
        <v>#REF!</v>
      </c>
      <c r="J8" s="464" t="e">
        <f t="shared" si="4"/>
        <v>#REF!</v>
      </c>
      <c r="K8" s="465" t="e">
        <f t="shared" si="5"/>
        <v>#REF!</v>
      </c>
      <c r="L8" s="462" t="e">
        <f>'Pque N Mundo I'!#REF!+'Pque N Mundo II'!#REF!</f>
        <v>#REF!</v>
      </c>
      <c r="M8" s="463" t="e">
        <f t="shared" si="3"/>
        <v>#REF!</v>
      </c>
      <c r="N8" s="462" t="e">
        <f>'Pque N Mundo I'!#REF!+'Pque N Mundo II'!#REF!</f>
        <v>#REF!</v>
      </c>
      <c r="O8" s="463" t="e">
        <f t="shared" si="9"/>
        <v>#REF!</v>
      </c>
      <c r="P8" s="462" t="e">
        <f>'Pque N Mundo I'!#REF!+'Pque N Mundo II'!#REF!</f>
        <v>#REF!</v>
      </c>
      <c r="Q8" s="454" t="e">
        <f t="shared" si="6"/>
        <v>#REF!</v>
      </c>
      <c r="R8" s="464" t="e">
        <f t="shared" si="7"/>
        <v>#REF!</v>
      </c>
      <c r="S8" s="466" t="e">
        <f t="shared" si="8"/>
        <v>#REF!</v>
      </c>
    </row>
    <row r="9" spans="1:19" x14ac:dyDescent="0.25">
      <c r="A9" t="s">
        <v>272</v>
      </c>
      <c r="B9" s="407" t="s">
        <v>20</v>
      </c>
      <c r="C9" s="460" t="e">
        <f>'Pque N Mundo I'!#REF!</f>
        <v>#REF!</v>
      </c>
      <c r="D9" s="462" t="e">
        <f>'Pque N Mundo I'!#REF!</f>
        <v>#REF!</v>
      </c>
      <c r="E9" s="461" t="e">
        <f t="shared" si="0"/>
        <v>#REF!</v>
      </c>
      <c r="F9" s="462" t="e">
        <f>'Pque N Mundo I'!#REF!</f>
        <v>#REF!</v>
      </c>
      <c r="G9" s="463" t="e">
        <f t="shared" si="1"/>
        <v>#REF!</v>
      </c>
      <c r="H9" s="462" t="e">
        <f>'Pque N Mundo I'!#REF!</f>
        <v>#REF!</v>
      </c>
      <c r="I9" s="454" t="e">
        <f t="shared" si="2"/>
        <v>#REF!</v>
      </c>
      <c r="J9" s="464" t="e">
        <f t="shared" si="4"/>
        <v>#REF!</v>
      </c>
      <c r="K9" s="465" t="e">
        <f t="shared" si="5"/>
        <v>#REF!</v>
      </c>
      <c r="L9" s="462" t="e">
        <f>'Pque N Mundo I'!#REF!</f>
        <v>#REF!</v>
      </c>
      <c r="M9" s="463" t="e">
        <f t="shared" si="3"/>
        <v>#REF!</v>
      </c>
      <c r="N9" s="462" t="e">
        <f>'Pque N Mundo I'!#REF!</f>
        <v>#REF!</v>
      </c>
      <c r="O9" s="463" t="e">
        <f t="shared" si="9"/>
        <v>#REF!</v>
      </c>
      <c r="P9" s="462" t="e">
        <f>'Pque N Mundo I'!#REF!</f>
        <v>#REF!</v>
      </c>
      <c r="Q9" s="454" t="e">
        <f t="shared" si="6"/>
        <v>#REF!</v>
      </c>
      <c r="R9" s="464" t="e">
        <f t="shared" si="7"/>
        <v>#REF!</v>
      </c>
      <c r="S9" s="466" t="e">
        <f t="shared" si="8"/>
        <v>#REF!</v>
      </c>
    </row>
    <row r="10" spans="1:19" x14ac:dyDescent="0.25">
      <c r="A10" t="s">
        <v>272</v>
      </c>
      <c r="B10" s="407" t="s">
        <v>21</v>
      </c>
      <c r="C10" s="460" t="e">
        <f>'Pque N Mundo I'!#REF!+'Pque N Mundo II'!#REF!</f>
        <v>#REF!</v>
      </c>
      <c r="D10" s="462" t="e">
        <f>'Pque N Mundo I'!#REF!+'Pque N Mundo II'!#REF!</f>
        <v>#REF!</v>
      </c>
      <c r="E10" s="461" t="e">
        <f t="shared" si="0"/>
        <v>#REF!</v>
      </c>
      <c r="F10" s="462" t="e">
        <f>'Pque N Mundo I'!#REF!+'Pque N Mundo II'!#REF!</f>
        <v>#REF!</v>
      </c>
      <c r="G10" s="463" t="e">
        <f t="shared" si="1"/>
        <v>#REF!</v>
      </c>
      <c r="H10" s="462" t="e">
        <f>'Pque N Mundo I'!#REF!+'Pque N Mundo II'!#REF!</f>
        <v>#REF!</v>
      </c>
      <c r="I10" s="454" t="e">
        <f t="shared" si="2"/>
        <v>#REF!</v>
      </c>
      <c r="J10" s="464" t="e">
        <f t="shared" si="4"/>
        <v>#REF!</v>
      </c>
      <c r="K10" s="465" t="e">
        <f t="shared" si="5"/>
        <v>#REF!</v>
      </c>
      <c r="L10" s="462" t="e">
        <f>'Pque N Mundo I'!#REF!+'Pque N Mundo II'!#REF!</f>
        <v>#REF!</v>
      </c>
      <c r="M10" s="463" t="e">
        <f t="shared" si="3"/>
        <v>#REF!</v>
      </c>
      <c r="N10" s="462" t="e">
        <f>'Pque N Mundo I'!#REF!+'Pque N Mundo II'!#REF!</f>
        <v>#REF!</v>
      </c>
      <c r="O10" s="463" t="e">
        <f t="shared" si="9"/>
        <v>#REF!</v>
      </c>
      <c r="P10" s="462" t="e">
        <f>'Pque N Mundo I'!#REF!+'Pque N Mundo II'!#REF!</f>
        <v>#REF!</v>
      </c>
      <c r="Q10" s="454" t="e">
        <f t="shared" si="6"/>
        <v>#REF!</v>
      </c>
      <c r="R10" s="464" t="e">
        <f t="shared" si="7"/>
        <v>#REF!</v>
      </c>
      <c r="S10" s="466" t="e">
        <f t="shared" si="8"/>
        <v>#REF!</v>
      </c>
    </row>
    <row r="11" spans="1:19" x14ac:dyDescent="0.25">
      <c r="A11" t="s">
        <v>272</v>
      </c>
      <c r="B11" s="407" t="s">
        <v>44</v>
      </c>
      <c r="C11" s="460" t="e">
        <f>'Pque N Mundo I'!#REF!+'Pque N Mundo II'!#REF!</f>
        <v>#REF!</v>
      </c>
      <c r="D11" s="462" t="e">
        <f>'Pque N Mundo I'!#REF!+'Pque N Mundo II'!#REF!</f>
        <v>#REF!</v>
      </c>
      <c r="E11" s="461" t="e">
        <f t="shared" si="0"/>
        <v>#REF!</v>
      </c>
      <c r="F11" s="462" t="e">
        <f>'Pque N Mundo I'!#REF!+'Pque N Mundo II'!#REF!</f>
        <v>#REF!</v>
      </c>
      <c r="G11" s="463" t="e">
        <f t="shared" si="1"/>
        <v>#REF!</v>
      </c>
      <c r="H11" s="462" t="e">
        <f>'Pque N Mundo I'!#REF!+'Pque N Mundo II'!#REF!</f>
        <v>#REF!</v>
      </c>
      <c r="I11" s="454" t="e">
        <f t="shared" si="2"/>
        <v>#REF!</v>
      </c>
      <c r="J11" s="464" t="e">
        <f t="shared" si="4"/>
        <v>#REF!</v>
      </c>
      <c r="K11" s="465" t="e">
        <f t="shared" si="5"/>
        <v>#REF!</v>
      </c>
      <c r="L11" s="462" t="e">
        <f>'Pque N Mundo I'!#REF!+'Pque N Mundo II'!#REF!</f>
        <v>#REF!</v>
      </c>
      <c r="M11" s="463" t="e">
        <f t="shared" si="3"/>
        <v>#REF!</v>
      </c>
      <c r="N11" s="462" t="e">
        <f>'Pque N Mundo I'!#REF!+'Pque N Mundo II'!#REF!</f>
        <v>#REF!</v>
      </c>
      <c r="O11" s="463" t="e">
        <f t="shared" si="9"/>
        <v>#REF!</v>
      </c>
      <c r="P11" s="462" t="e">
        <f>'Pque N Mundo I'!#REF!+'Pque N Mundo II'!#REF!</f>
        <v>#REF!</v>
      </c>
      <c r="Q11" s="454" t="e">
        <f t="shared" si="6"/>
        <v>#REF!</v>
      </c>
      <c r="R11" s="464" t="e">
        <f t="shared" si="7"/>
        <v>#REF!</v>
      </c>
      <c r="S11" s="466" t="e">
        <f t="shared" si="8"/>
        <v>#REF!</v>
      </c>
    </row>
    <row r="12" spans="1:19" x14ac:dyDescent="0.25">
      <c r="A12" t="s">
        <v>272</v>
      </c>
      <c r="B12" s="407" t="s">
        <v>22</v>
      </c>
      <c r="C12" s="460" t="e">
        <f>'Pque N Mundo I'!#REF!</f>
        <v>#REF!</v>
      </c>
      <c r="D12" s="462" t="e">
        <f>'Pque N Mundo I'!#REF!</f>
        <v>#REF!</v>
      </c>
      <c r="E12" s="461" t="e">
        <f t="shared" si="0"/>
        <v>#REF!</v>
      </c>
      <c r="F12" s="462" t="e">
        <f>'Pque N Mundo I'!#REF!</f>
        <v>#REF!</v>
      </c>
      <c r="G12" s="463" t="e">
        <f t="shared" si="1"/>
        <v>#REF!</v>
      </c>
      <c r="H12" s="462" t="e">
        <f>'Pque N Mundo I'!#REF!</f>
        <v>#REF!</v>
      </c>
      <c r="I12" s="454" t="e">
        <f t="shared" si="2"/>
        <v>#REF!</v>
      </c>
      <c r="J12" s="464" t="e">
        <f t="shared" si="4"/>
        <v>#REF!</v>
      </c>
      <c r="K12" s="465" t="e">
        <f t="shared" si="5"/>
        <v>#REF!</v>
      </c>
      <c r="L12" s="462" t="e">
        <f>'Pque N Mundo I'!#REF!</f>
        <v>#REF!</v>
      </c>
      <c r="M12" s="463" t="e">
        <f t="shared" si="3"/>
        <v>#REF!</v>
      </c>
      <c r="N12" s="462" t="e">
        <f>'Pque N Mundo I'!#REF!</f>
        <v>#REF!</v>
      </c>
      <c r="O12" s="463" t="e">
        <f t="shared" si="9"/>
        <v>#REF!</v>
      </c>
      <c r="P12" s="462" t="e">
        <f>'Pque N Mundo I'!#REF!</f>
        <v>#REF!</v>
      </c>
      <c r="Q12" s="454" t="e">
        <f t="shared" si="6"/>
        <v>#REF!</v>
      </c>
      <c r="R12" s="464" t="e">
        <f t="shared" si="7"/>
        <v>#REF!</v>
      </c>
      <c r="S12" s="466" t="e">
        <f t="shared" si="8"/>
        <v>#REF!</v>
      </c>
    </row>
    <row r="13" spans="1:19" x14ac:dyDescent="0.25">
      <c r="A13" t="s">
        <v>272</v>
      </c>
      <c r="B13" s="407" t="s">
        <v>23</v>
      </c>
      <c r="C13" s="460" t="e">
        <f>'Pque N Mundo I'!#REF!+'Pque N Mundo II'!#REF!</f>
        <v>#REF!</v>
      </c>
      <c r="D13" s="462" t="e">
        <f>'Pque N Mundo I'!#REF!+'Pque N Mundo II'!#REF!</f>
        <v>#REF!</v>
      </c>
      <c r="E13" s="461" t="e">
        <f t="shared" si="0"/>
        <v>#REF!</v>
      </c>
      <c r="F13" s="462" t="e">
        <f>'Pque N Mundo I'!#REF!+'Pque N Mundo II'!#REF!</f>
        <v>#REF!</v>
      </c>
      <c r="G13" s="463" t="e">
        <f t="shared" si="1"/>
        <v>#REF!</v>
      </c>
      <c r="H13" s="462" t="e">
        <f>'Pque N Mundo I'!#REF!+'Pque N Mundo II'!#REF!</f>
        <v>#REF!</v>
      </c>
      <c r="I13" s="454" t="e">
        <f t="shared" si="2"/>
        <v>#REF!</v>
      </c>
      <c r="J13" s="464" t="e">
        <f t="shared" si="4"/>
        <v>#REF!</v>
      </c>
      <c r="K13" s="465" t="e">
        <f t="shared" si="5"/>
        <v>#REF!</v>
      </c>
      <c r="L13" s="462" t="e">
        <f>'Pque N Mundo I'!#REF!+'Pque N Mundo II'!#REF!</f>
        <v>#REF!</v>
      </c>
      <c r="M13" s="463" t="e">
        <f t="shared" si="3"/>
        <v>#REF!</v>
      </c>
      <c r="N13" s="462" t="e">
        <f>'Pque N Mundo I'!#REF!+'Pque N Mundo II'!#REF!</f>
        <v>#REF!</v>
      </c>
      <c r="O13" s="463" t="e">
        <f t="shared" si="9"/>
        <v>#REF!</v>
      </c>
      <c r="P13" s="462" t="e">
        <f>'Pque N Mundo I'!#REF!+'Pque N Mundo II'!#REF!</f>
        <v>#REF!</v>
      </c>
      <c r="Q13" s="454" t="e">
        <f t="shared" si="6"/>
        <v>#REF!</v>
      </c>
      <c r="R13" s="464" t="e">
        <f t="shared" si="7"/>
        <v>#REF!</v>
      </c>
      <c r="S13" s="466" t="e">
        <f t="shared" si="8"/>
        <v>#REF!</v>
      </c>
    </row>
    <row r="14" spans="1:19" x14ac:dyDescent="0.25">
      <c r="A14" t="s">
        <v>272</v>
      </c>
      <c r="B14" s="407" t="s">
        <v>24</v>
      </c>
      <c r="C14" s="460" t="e">
        <f>'Pque N Mundo I'!#REF!+'Pque N Mundo II'!#REF!</f>
        <v>#REF!</v>
      </c>
      <c r="D14" s="462" t="e">
        <f>'Pque N Mundo I'!#REF!+'Pque N Mundo II'!#REF!</f>
        <v>#REF!</v>
      </c>
      <c r="E14" s="461" t="e">
        <f t="shared" si="0"/>
        <v>#REF!</v>
      </c>
      <c r="F14" s="462" t="e">
        <f>'Pque N Mundo I'!#REF!+'Pque N Mundo II'!#REF!</f>
        <v>#REF!</v>
      </c>
      <c r="G14" s="463" t="e">
        <f t="shared" si="1"/>
        <v>#REF!</v>
      </c>
      <c r="H14" s="462" t="e">
        <f>'Pque N Mundo I'!#REF!+'Pque N Mundo II'!#REF!</f>
        <v>#REF!</v>
      </c>
      <c r="I14" s="454" t="e">
        <f t="shared" si="2"/>
        <v>#REF!</v>
      </c>
      <c r="J14" s="464" t="e">
        <f t="shared" si="4"/>
        <v>#REF!</v>
      </c>
      <c r="K14" s="465" t="e">
        <f t="shared" si="5"/>
        <v>#REF!</v>
      </c>
      <c r="L14" s="462" t="e">
        <f>'Pque N Mundo I'!#REF!+'Pque N Mundo II'!#REF!</f>
        <v>#REF!</v>
      </c>
      <c r="M14" s="463" t="e">
        <f t="shared" si="3"/>
        <v>#REF!</v>
      </c>
      <c r="N14" s="462" t="e">
        <f>'Pque N Mundo I'!#REF!+'Pque N Mundo II'!#REF!</f>
        <v>#REF!</v>
      </c>
      <c r="O14" s="463" t="e">
        <f t="shared" si="9"/>
        <v>#REF!</v>
      </c>
      <c r="P14" s="462" t="e">
        <f>'Pque N Mundo I'!#REF!+'Pque N Mundo II'!#REF!</f>
        <v>#REF!</v>
      </c>
      <c r="Q14" s="454" t="e">
        <f t="shared" si="6"/>
        <v>#REF!</v>
      </c>
      <c r="R14" s="464" t="e">
        <f t="shared" si="7"/>
        <v>#REF!</v>
      </c>
      <c r="S14" s="466" t="e">
        <f t="shared" si="8"/>
        <v>#REF!</v>
      </c>
    </row>
    <row r="15" spans="1:19" x14ac:dyDescent="0.25">
      <c r="A15" t="s">
        <v>272</v>
      </c>
      <c r="B15" s="407" t="s">
        <v>25</v>
      </c>
      <c r="C15" s="460" t="e">
        <f>'Pque N Mundo I'!#REF!+'Pque N Mundo II'!#REF!</f>
        <v>#REF!</v>
      </c>
      <c r="D15" s="462" t="e">
        <f>'Pque N Mundo I'!#REF!+'Pque N Mundo II'!#REF!</f>
        <v>#REF!</v>
      </c>
      <c r="E15" s="461" t="e">
        <f t="shared" si="0"/>
        <v>#REF!</v>
      </c>
      <c r="F15" s="462" t="e">
        <f>'Pque N Mundo I'!#REF!+'Pque N Mundo II'!#REF!</f>
        <v>#REF!</v>
      </c>
      <c r="G15" s="463" t="e">
        <f t="shared" si="1"/>
        <v>#REF!</v>
      </c>
      <c r="H15" s="462" t="e">
        <f>'Pque N Mundo I'!#REF!+'Pque N Mundo II'!#REF!</f>
        <v>#REF!</v>
      </c>
      <c r="I15" s="454" t="e">
        <f t="shared" si="2"/>
        <v>#REF!</v>
      </c>
      <c r="J15" s="464" t="e">
        <f t="shared" si="4"/>
        <v>#REF!</v>
      </c>
      <c r="K15" s="465" t="e">
        <f t="shared" si="5"/>
        <v>#REF!</v>
      </c>
      <c r="L15" s="462" t="e">
        <f>'Pque N Mundo I'!#REF!+'Pque N Mundo II'!#REF!</f>
        <v>#REF!</v>
      </c>
      <c r="M15" s="463" t="e">
        <f t="shared" si="3"/>
        <v>#REF!</v>
      </c>
      <c r="N15" s="462" t="e">
        <f>'Pque N Mundo I'!#REF!+'Pque N Mundo II'!#REF!</f>
        <v>#REF!</v>
      </c>
      <c r="O15" s="463" t="e">
        <f t="shared" si="9"/>
        <v>#REF!</v>
      </c>
      <c r="P15" s="462" t="e">
        <f>'Pque N Mundo I'!#REF!+'Pque N Mundo II'!#REF!</f>
        <v>#REF!</v>
      </c>
      <c r="Q15" s="454" t="e">
        <f t="shared" si="6"/>
        <v>#REF!</v>
      </c>
      <c r="R15" s="464" t="e">
        <f t="shared" si="7"/>
        <v>#REF!</v>
      </c>
      <c r="S15" s="466" t="e">
        <f t="shared" si="8"/>
        <v>#REF!</v>
      </c>
    </row>
    <row r="16" spans="1:19" x14ac:dyDescent="0.25">
      <c r="A16" t="s">
        <v>272</v>
      </c>
      <c r="B16" s="407" t="s">
        <v>26</v>
      </c>
      <c r="C16" s="460" t="e">
        <f>'Pque N Mundo I'!#REF!+'Pque N Mundo II'!#REF!</f>
        <v>#REF!</v>
      </c>
      <c r="D16" s="462" t="e">
        <f>'Pque N Mundo I'!#REF!+'Pque N Mundo II'!#REF!</f>
        <v>#REF!</v>
      </c>
      <c r="E16" s="461" t="e">
        <f t="shared" si="0"/>
        <v>#REF!</v>
      </c>
      <c r="F16" s="462" t="e">
        <f>'Pque N Mundo I'!#REF!+'Pque N Mundo II'!#REF!</f>
        <v>#REF!</v>
      </c>
      <c r="G16" s="463" t="e">
        <f t="shared" si="1"/>
        <v>#REF!</v>
      </c>
      <c r="H16" s="462" t="e">
        <f>'Pque N Mundo I'!#REF!+'Pque N Mundo II'!#REF!</f>
        <v>#REF!</v>
      </c>
      <c r="I16" s="454" t="e">
        <f t="shared" si="2"/>
        <v>#REF!</v>
      </c>
      <c r="J16" s="464" t="e">
        <f t="shared" si="4"/>
        <v>#REF!</v>
      </c>
      <c r="K16" s="465" t="e">
        <f t="shared" si="5"/>
        <v>#REF!</v>
      </c>
      <c r="L16" s="462" t="e">
        <f>'Pque N Mundo I'!#REF!+'Pque N Mundo II'!#REF!</f>
        <v>#REF!</v>
      </c>
      <c r="M16" s="463" t="e">
        <f t="shared" si="3"/>
        <v>#REF!</v>
      </c>
      <c r="N16" s="462" t="e">
        <f>'Pque N Mundo I'!#REF!+'Pque N Mundo II'!#REF!</f>
        <v>#REF!</v>
      </c>
      <c r="O16" s="463" t="e">
        <f t="shared" si="9"/>
        <v>#REF!</v>
      </c>
      <c r="P16" s="462" t="e">
        <f>'Pque N Mundo I'!#REF!+'Pque N Mundo II'!#REF!</f>
        <v>#REF!</v>
      </c>
      <c r="Q16" s="454" t="e">
        <f t="shared" si="6"/>
        <v>#REF!</v>
      </c>
      <c r="R16" s="464" t="e">
        <f t="shared" si="7"/>
        <v>#REF!</v>
      </c>
      <c r="S16" s="466" t="e">
        <f t="shared" si="8"/>
        <v>#REF!</v>
      </c>
    </row>
    <row r="17" spans="1:19" ht="15.75" thickBot="1" x14ac:dyDescent="0.3">
      <c r="A17" t="s">
        <v>272</v>
      </c>
      <c r="B17" s="408" t="s">
        <v>34</v>
      </c>
      <c r="C17" s="467" t="e">
        <f>'Pque N Mundo I'!#REF!+'Pque N Mundo II'!#REF!</f>
        <v>#REF!</v>
      </c>
      <c r="D17" s="469" t="e">
        <f>'Pque N Mundo I'!#REF!+'Pque N Mundo II'!#REF!</f>
        <v>#REF!</v>
      </c>
      <c r="E17" s="468" t="e">
        <f t="shared" si="0"/>
        <v>#REF!</v>
      </c>
      <c r="F17" s="469" t="e">
        <f>'Pque N Mundo I'!#REF!+'Pque N Mundo II'!#REF!</f>
        <v>#REF!</v>
      </c>
      <c r="G17" s="470" t="e">
        <f t="shared" si="1"/>
        <v>#REF!</v>
      </c>
      <c r="H17" s="469" t="e">
        <f>'Pque N Mundo I'!#REF!+'Pque N Mundo II'!#REF!</f>
        <v>#REF!</v>
      </c>
      <c r="I17" s="470" t="e">
        <f t="shared" si="2"/>
        <v>#REF!</v>
      </c>
      <c r="J17" s="471" t="e">
        <f t="shared" si="4"/>
        <v>#REF!</v>
      </c>
      <c r="K17" s="472" t="e">
        <f t="shared" si="5"/>
        <v>#REF!</v>
      </c>
      <c r="L17" s="469" t="e">
        <f>'Pque N Mundo I'!#REF!+'Pque N Mundo II'!#REF!</f>
        <v>#REF!</v>
      </c>
      <c r="M17" s="470" t="e">
        <f t="shared" si="3"/>
        <v>#REF!</v>
      </c>
      <c r="N17" s="469" t="e">
        <f>'Pque N Mundo I'!#REF!+'Pque N Mundo II'!#REF!</f>
        <v>#REF!</v>
      </c>
      <c r="O17" s="470" t="e">
        <f t="shared" si="9"/>
        <v>#REF!</v>
      </c>
      <c r="P17" s="469" t="e">
        <f>'Pque N Mundo I'!#REF!+'Pque N Mundo II'!#REF!</f>
        <v>#REF!</v>
      </c>
      <c r="Q17" s="470" t="e">
        <f t="shared" si="6"/>
        <v>#REF!</v>
      </c>
      <c r="R17" s="471" t="e">
        <f t="shared" si="7"/>
        <v>#REF!</v>
      </c>
      <c r="S17" s="473" t="e">
        <f t="shared" si="8"/>
        <v>#REF!</v>
      </c>
    </row>
    <row r="18" spans="1:19" ht="15.75" thickBot="1" x14ac:dyDescent="0.3">
      <c r="B18" s="70" t="s">
        <v>293</v>
      </c>
      <c r="C18" s="474" t="e">
        <f>SUM(C4:C17)</f>
        <v>#REF!</v>
      </c>
      <c r="D18" s="476" t="e">
        <f t="shared" ref="D18:L18" si="10">SUM(D4:D17)</f>
        <v>#REF!</v>
      </c>
      <c r="E18" s="475" t="e">
        <f t="shared" si="0"/>
        <v>#REF!</v>
      </c>
      <c r="F18" s="476" t="e">
        <f t="shared" si="10"/>
        <v>#REF!</v>
      </c>
      <c r="G18" s="477" t="e">
        <f t="shared" si="1"/>
        <v>#REF!</v>
      </c>
      <c r="H18" s="476" t="e">
        <f t="shared" ref="H18" si="11">SUM(H4:H17)</f>
        <v>#REF!</v>
      </c>
      <c r="I18" s="477" t="e">
        <f t="shared" si="2"/>
        <v>#REF!</v>
      </c>
      <c r="J18" s="478" t="e">
        <f t="shared" si="4"/>
        <v>#REF!</v>
      </c>
      <c r="K18" s="479" t="e">
        <f t="shared" si="5"/>
        <v>#REF!</v>
      </c>
      <c r="L18" s="476" t="e">
        <f t="shared" si="10"/>
        <v>#REF!</v>
      </c>
      <c r="M18" s="477" t="e">
        <f t="shared" si="3"/>
        <v>#REF!</v>
      </c>
      <c r="N18" s="476" t="e">
        <f t="shared" ref="N18" si="12">SUM(N4:N17)</f>
        <v>#REF!</v>
      </c>
      <c r="O18" s="477" t="e">
        <f t="shared" si="9"/>
        <v>#REF!</v>
      </c>
      <c r="P18" s="476" t="e">
        <f t="shared" ref="P18" si="13">SUM(P4:P17)</f>
        <v>#REF!</v>
      </c>
      <c r="Q18" s="477" t="e">
        <f t="shared" si="6"/>
        <v>#REF!</v>
      </c>
      <c r="R18" s="478" t="e">
        <f t="shared" si="7"/>
        <v>#REF!</v>
      </c>
      <c r="S18" s="480" t="e">
        <f t="shared" si="8"/>
        <v>#REF!</v>
      </c>
    </row>
    <row r="19" spans="1:19" ht="15.75" thickTop="1" x14ac:dyDescent="0.25">
      <c r="A19" t="s">
        <v>271</v>
      </c>
      <c r="B19" s="52" t="s">
        <v>35</v>
      </c>
      <c r="C19" s="451" t="e">
        <f>'Pque N Mundo II'!#REF!</f>
        <v>#REF!</v>
      </c>
      <c r="D19" s="453" t="e">
        <f>'Pque N Mundo II'!#REF!</f>
        <v>#REF!</v>
      </c>
      <c r="E19" s="452" t="e">
        <f t="shared" si="0"/>
        <v>#REF!</v>
      </c>
      <c r="F19" s="453" t="e">
        <f>'Pque N Mundo II'!#REF!</f>
        <v>#REF!</v>
      </c>
      <c r="G19" s="454" t="e">
        <f t="shared" si="1"/>
        <v>#REF!</v>
      </c>
      <c r="H19" s="453" t="e">
        <f>'Pque N Mundo II'!#REF!</f>
        <v>#REF!</v>
      </c>
      <c r="I19" s="454" t="e">
        <f t="shared" si="2"/>
        <v>#REF!</v>
      </c>
      <c r="J19" s="455" t="e">
        <f t="shared" si="4"/>
        <v>#REF!</v>
      </c>
      <c r="K19" s="456" t="e">
        <f t="shared" si="5"/>
        <v>#REF!</v>
      </c>
      <c r="L19" s="453" t="e">
        <f>'Pque N Mundo II'!#REF!</f>
        <v>#REF!</v>
      </c>
      <c r="M19" s="457" t="e">
        <f t="shared" si="3"/>
        <v>#REF!</v>
      </c>
      <c r="N19" s="458" t="e">
        <f>'Pque N Mundo II'!#REF!</f>
        <v>#REF!</v>
      </c>
      <c r="O19" s="454" t="e">
        <f t="shared" si="9"/>
        <v>#REF!</v>
      </c>
      <c r="P19" s="453" t="e">
        <f>'Pque N Mundo II'!#REF!</f>
        <v>#REF!</v>
      </c>
      <c r="Q19" s="454" t="e">
        <f t="shared" si="6"/>
        <v>#REF!</v>
      </c>
      <c r="R19" s="455" t="e">
        <f t="shared" si="7"/>
        <v>#REF!</v>
      </c>
      <c r="S19" s="459" t="e">
        <f t="shared" si="8"/>
        <v>#REF!</v>
      </c>
    </row>
    <row r="20" spans="1:19" x14ac:dyDescent="0.25">
      <c r="A20" t="s">
        <v>271</v>
      </c>
      <c r="B20" s="409" t="s">
        <v>36</v>
      </c>
      <c r="C20" s="460" t="e">
        <f>'Pque N Mundo II'!#REF!</f>
        <v>#REF!</v>
      </c>
      <c r="D20" s="462" t="e">
        <f>'Pque N Mundo II'!#REF!</f>
        <v>#REF!</v>
      </c>
      <c r="E20" s="461" t="e">
        <f t="shared" si="0"/>
        <v>#REF!</v>
      </c>
      <c r="F20" s="462" t="e">
        <f>'Pque N Mundo II'!#REF!</f>
        <v>#REF!</v>
      </c>
      <c r="G20" s="463" t="e">
        <f t="shared" si="1"/>
        <v>#REF!</v>
      </c>
      <c r="H20" s="462" t="e">
        <f>'Pque N Mundo II'!#REF!</f>
        <v>#REF!</v>
      </c>
      <c r="I20" s="454" t="e">
        <f t="shared" si="2"/>
        <v>#REF!</v>
      </c>
      <c r="J20" s="464" t="e">
        <f t="shared" si="4"/>
        <v>#REF!</v>
      </c>
      <c r="K20" s="465" t="e">
        <f t="shared" si="5"/>
        <v>#REF!</v>
      </c>
      <c r="L20" s="462" t="e">
        <f>'Pque N Mundo II'!#REF!</f>
        <v>#REF!</v>
      </c>
      <c r="M20" s="463" t="e">
        <f t="shared" si="3"/>
        <v>#REF!</v>
      </c>
      <c r="N20" s="462" t="e">
        <f>'Pque N Mundo II'!#REF!</f>
        <v>#REF!</v>
      </c>
      <c r="O20" s="463" t="e">
        <f t="shared" si="9"/>
        <v>#REF!</v>
      </c>
      <c r="P20" s="462" t="e">
        <f>'Pque N Mundo II'!#REF!</f>
        <v>#REF!</v>
      </c>
      <c r="Q20" s="454" t="e">
        <f t="shared" si="6"/>
        <v>#REF!</v>
      </c>
      <c r="R20" s="464" t="e">
        <f t="shared" si="7"/>
        <v>#REF!</v>
      </c>
      <c r="S20" s="466" t="e">
        <f t="shared" si="8"/>
        <v>#REF!</v>
      </c>
    </row>
    <row r="21" spans="1:19" x14ac:dyDescent="0.25">
      <c r="A21" t="s">
        <v>271</v>
      </c>
      <c r="B21" s="409" t="s">
        <v>37</v>
      </c>
      <c r="C21" s="460" t="e">
        <f>'Pque N Mundo II'!#REF!</f>
        <v>#REF!</v>
      </c>
      <c r="D21" s="462" t="e">
        <f>'Pque N Mundo II'!#REF!</f>
        <v>#REF!</v>
      </c>
      <c r="E21" s="461" t="e">
        <f t="shared" si="0"/>
        <v>#REF!</v>
      </c>
      <c r="F21" s="462" t="e">
        <f>'Pque N Mundo II'!#REF!</f>
        <v>#REF!</v>
      </c>
      <c r="G21" s="463" t="e">
        <f t="shared" si="1"/>
        <v>#REF!</v>
      </c>
      <c r="H21" s="462" t="e">
        <f>'Pque N Mundo II'!#REF!</f>
        <v>#REF!</v>
      </c>
      <c r="I21" s="454" t="e">
        <f t="shared" si="2"/>
        <v>#REF!</v>
      </c>
      <c r="J21" s="464" t="e">
        <f t="shared" si="4"/>
        <v>#REF!</v>
      </c>
      <c r="K21" s="465" t="e">
        <f t="shared" si="5"/>
        <v>#REF!</v>
      </c>
      <c r="L21" s="462" t="e">
        <f>'Pque N Mundo II'!#REF!</f>
        <v>#REF!</v>
      </c>
      <c r="M21" s="463" t="e">
        <f t="shared" si="3"/>
        <v>#REF!</v>
      </c>
      <c r="N21" s="462" t="e">
        <f>'Pque N Mundo II'!#REF!</f>
        <v>#REF!</v>
      </c>
      <c r="O21" s="463" t="e">
        <f t="shared" si="9"/>
        <v>#REF!</v>
      </c>
      <c r="P21" s="462" t="e">
        <f>'Pque N Mundo II'!#REF!</f>
        <v>#REF!</v>
      </c>
      <c r="Q21" s="454" t="e">
        <f t="shared" si="6"/>
        <v>#REF!</v>
      </c>
      <c r="R21" s="464" t="e">
        <f t="shared" si="7"/>
        <v>#REF!</v>
      </c>
      <c r="S21" s="466" t="e">
        <f t="shared" si="8"/>
        <v>#REF!</v>
      </c>
    </row>
    <row r="22" spans="1:19" x14ac:dyDescent="0.25">
      <c r="A22" t="s">
        <v>271</v>
      </c>
      <c r="B22" s="409" t="s">
        <v>39</v>
      </c>
      <c r="C22" s="460" t="e">
        <f>'Pque N Mundo II'!#REF!</f>
        <v>#REF!</v>
      </c>
      <c r="D22" s="462" t="e">
        <f>'Pque N Mundo II'!#REF!</f>
        <v>#REF!</v>
      </c>
      <c r="E22" s="461" t="e">
        <f t="shared" si="0"/>
        <v>#REF!</v>
      </c>
      <c r="F22" s="462" t="e">
        <f>'Pque N Mundo II'!#REF!</f>
        <v>#REF!</v>
      </c>
      <c r="G22" s="463" t="e">
        <f t="shared" si="1"/>
        <v>#REF!</v>
      </c>
      <c r="H22" s="462" t="e">
        <f>'Pque N Mundo II'!#REF!</f>
        <v>#REF!</v>
      </c>
      <c r="I22" s="454" t="e">
        <f t="shared" si="2"/>
        <v>#REF!</v>
      </c>
      <c r="J22" s="464" t="e">
        <f t="shared" si="4"/>
        <v>#REF!</v>
      </c>
      <c r="K22" s="465" t="e">
        <f t="shared" si="5"/>
        <v>#REF!</v>
      </c>
      <c r="L22" s="462" t="e">
        <f>'Pque N Mundo II'!#REF!</f>
        <v>#REF!</v>
      </c>
      <c r="M22" s="463" t="e">
        <f t="shared" si="3"/>
        <v>#REF!</v>
      </c>
      <c r="N22" s="462" t="e">
        <f>'Pque N Mundo II'!#REF!</f>
        <v>#REF!</v>
      </c>
      <c r="O22" s="463" t="e">
        <f t="shared" si="9"/>
        <v>#REF!</v>
      </c>
      <c r="P22" s="462" t="e">
        <f>'Pque N Mundo II'!#REF!</f>
        <v>#REF!</v>
      </c>
      <c r="Q22" s="454" t="e">
        <f t="shared" si="6"/>
        <v>#REF!</v>
      </c>
      <c r="R22" s="464" t="e">
        <f t="shared" si="7"/>
        <v>#REF!</v>
      </c>
      <c r="S22" s="466" t="e">
        <f t="shared" si="8"/>
        <v>#REF!</v>
      </c>
    </row>
    <row r="23" spans="1:19" x14ac:dyDescent="0.25">
      <c r="A23" t="s">
        <v>271</v>
      </c>
      <c r="B23" s="409" t="s">
        <v>45</v>
      </c>
      <c r="C23" s="460" t="e">
        <f>'Pque N Mundo II'!#REF!</f>
        <v>#REF!</v>
      </c>
      <c r="D23" s="462" t="e">
        <f>'Pque N Mundo II'!#REF!</f>
        <v>#REF!</v>
      </c>
      <c r="E23" s="461" t="e">
        <f t="shared" si="0"/>
        <v>#REF!</v>
      </c>
      <c r="F23" s="462" t="e">
        <f>'Pque N Mundo II'!#REF!</f>
        <v>#REF!</v>
      </c>
      <c r="G23" s="463" t="e">
        <f t="shared" si="1"/>
        <v>#REF!</v>
      </c>
      <c r="H23" s="462" t="e">
        <f>'Pque N Mundo II'!#REF!</f>
        <v>#REF!</v>
      </c>
      <c r="I23" s="454" t="e">
        <f t="shared" si="2"/>
        <v>#REF!</v>
      </c>
      <c r="J23" s="464" t="e">
        <f t="shared" si="4"/>
        <v>#REF!</v>
      </c>
      <c r="K23" s="465" t="e">
        <f t="shared" si="5"/>
        <v>#REF!</v>
      </c>
      <c r="L23" s="462" t="e">
        <f>'Pque N Mundo II'!#REF!</f>
        <v>#REF!</v>
      </c>
      <c r="M23" s="463" t="e">
        <f t="shared" si="3"/>
        <v>#REF!</v>
      </c>
      <c r="N23" s="462" t="e">
        <f>'Pque N Mundo II'!#REF!</f>
        <v>#REF!</v>
      </c>
      <c r="O23" s="463" t="e">
        <f t="shared" si="9"/>
        <v>#REF!</v>
      </c>
      <c r="P23" s="462" t="e">
        <f>'Pque N Mundo II'!#REF!</f>
        <v>#REF!</v>
      </c>
      <c r="Q23" s="454" t="e">
        <f t="shared" si="6"/>
        <v>#REF!</v>
      </c>
      <c r="R23" s="464" t="e">
        <f t="shared" si="7"/>
        <v>#REF!</v>
      </c>
      <c r="S23" s="466" t="e">
        <f t="shared" si="8"/>
        <v>#REF!</v>
      </c>
    </row>
    <row r="24" spans="1:19" x14ac:dyDescent="0.25">
      <c r="A24" t="s">
        <v>271</v>
      </c>
      <c r="B24" s="409" t="s">
        <v>38</v>
      </c>
      <c r="C24" s="460" t="e">
        <f>'Pque N Mundo II'!#REF!</f>
        <v>#REF!</v>
      </c>
      <c r="D24" s="462" t="e">
        <f>'Pque N Mundo II'!#REF!</f>
        <v>#REF!</v>
      </c>
      <c r="E24" s="461" t="e">
        <f t="shared" si="0"/>
        <v>#REF!</v>
      </c>
      <c r="F24" s="462" t="e">
        <f>'Pque N Mundo II'!#REF!</f>
        <v>#REF!</v>
      </c>
      <c r="G24" s="463" t="e">
        <f t="shared" si="1"/>
        <v>#REF!</v>
      </c>
      <c r="H24" s="462" t="e">
        <f>'Pque N Mundo II'!#REF!</f>
        <v>#REF!</v>
      </c>
      <c r="I24" s="454" t="e">
        <f t="shared" si="2"/>
        <v>#REF!</v>
      </c>
      <c r="J24" s="464" t="e">
        <f t="shared" si="4"/>
        <v>#REF!</v>
      </c>
      <c r="K24" s="465" t="e">
        <f t="shared" si="5"/>
        <v>#REF!</v>
      </c>
      <c r="L24" s="462" t="e">
        <f>'Pque N Mundo II'!#REF!</f>
        <v>#REF!</v>
      </c>
      <c r="M24" s="463" t="e">
        <f t="shared" si="3"/>
        <v>#REF!</v>
      </c>
      <c r="N24" s="462" t="e">
        <f>'Pque N Mundo II'!#REF!</f>
        <v>#REF!</v>
      </c>
      <c r="O24" s="463" t="e">
        <f t="shared" si="9"/>
        <v>#REF!</v>
      </c>
      <c r="P24" s="462" t="e">
        <f>'Pque N Mundo II'!#REF!</f>
        <v>#REF!</v>
      </c>
      <c r="Q24" s="454" t="e">
        <f t="shared" si="6"/>
        <v>#REF!</v>
      </c>
      <c r="R24" s="464" t="e">
        <f t="shared" si="7"/>
        <v>#REF!</v>
      </c>
      <c r="S24" s="466" t="e">
        <f t="shared" si="8"/>
        <v>#REF!</v>
      </c>
    </row>
    <row r="25" spans="1:19" ht="15.75" thickBot="1" x14ac:dyDescent="0.3">
      <c r="A25" t="s">
        <v>271</v>
      </c>
      <c r="B25" s="410" t="s">
        <v>40</v>
      </c>
      <c r="C25" s="467" t="e">
        <f>'Pque N Mundo II'!#REF!</f>
        <v>#REF!</v>
      </c>
      <c r="D25" s="469" t="e">
        <f>'Pque N Mundo II'!#REF!</f>
        <v>#REF!</v>
      </c>
      <c r="E25" s="468" t="e">
        <f t="shared" si="0"/>
        <v>#REF!</v>
      </c>
      <c r="F25" s="469" t="e">
        <f>'Pque N Mundo II'!#REF!</f>
        <v>#REF!</v>
      </c>
      <c r="G25" s="470" t="e">
        <f t="shared" si="1"/>
        <v>#REF!</v>
      </c>
      <c r="H25" s="469" t="e">
        <f>'Pque N Mundo II'!#REF!</f>
        <v>#REF!</v>
      </c>
      <c r="I25" s="470" t="e">
        <f t="shared" si="2"/>
        <v>#REF!</v>
      </c>
      <c r="J25" s="471" t="e">
        <f t="shared" si="4"/>
        <v>#REF!</v>
      </c>
      <c r="K25" s="472" t="e">
        <f t="shared" si="5"/>
        <v>#REF!</v>
      </c>
      <c r="L25" s="469" t="e">
        <f>'Pque N Mundo II'!#REF!</f>
        <v>#REF!</v>
      </c>
      <c r="M25" s="463" t="e">
        <f t="shared" si="3"/>
        <v>#REF!</v>
      </c>
      <c r="N25" s="469" t="e">
        <f>'Pque N Mundo II'!#REF!</f>
        <v>#REF!</v>
      </c>
      <c r="O25" s="470" t="e">
        <f t="shared" si="9"/>
        <v>#REF!</v>
      </c>
      <c r="P25" s="469" t="e">
        <f>'Pque N Mundo II'!#REF!</f>
        <v>#REF!</v>
      </c>
      <c r="Q25" s="470" t="e">
        <f t="shared" si="6"/>
        <v>#REF!</v>
      </c>
      <c r="R25" s="471" t="e">
        <f t="shared" si="7"/>
        <v>#REF!</v>
      </c>
      <c r="S25" s="473" t="e">
        <f t="shared" si="8"/>
        <v>#REF!</v>
      </c>
    </row>
    <row r="26" spans="1:19" ht="15.75" thickBot="1" x14ac:dyDescent="0.3">
      <c r="B26" s="70" t="s">
        <v>292</v>
      </c>
      <c r="C26" s="474" t="e">
        <f>'Pque N Mundo II'!#REF!</f>
        <v>#REF!</v>
      </c>
      <c r="D26" s="476" t="e">
        <f>'Pque N Mundo II'!#REF!</f>
        <v>#REF!</v>
      </c>
      <c r="E26" s="475" t="e">
        <f t="shared" si="0"/>
        <v>#REF!</v>
      </c>
      <c r="F26" s="476" t="e">
        <f>'Pque N Mundo II'!#REF!</f>
        <v>#REF!</v>
      </c>
      <c r="G26" s="477" t="e">
        <f t="shared" si="1"/>
        <v>#REF!</v>
      </c>
      <c r="H26" s="476" t="e">
        <f>'Pque N Mundo II'!#REF!</f>
        <v>#REF!</v>
      </c>
      <c r="I26" s="477" t="e">
        <f t="shared" si="2"/>
        <v>#REF!</v>
      </c>
      <c r="J26" s="478" t="e">
        <f t="shared" si="4"/>
        <v>#REF!</v>
      </c>
      <c r="K26" s="479" t="e">
        <f t="shared" si="5"/>
        <v>#REF!</v>
      </c>
      <c r="L26" s="476" t="e">
        <f>'Pque N Mundo II'!#REF!</f>
        <v>#REF!</v>
      </c>
      <c r="M26" s="481" t="e">
        <f t="shared" si="3"/>
        <v>#REF!</v>
      </c>
      <c r="N26" s="476" t="e">
        <f>'Pque N Mundo II'!#REF!</f>
        <v>#REF!</v>
      </c>
      <c r="O26" s="477" t="e">
        <f t="shared" si="9"/>
        <v>#REF!</v>
      </c>
      <c r="P26" s="476" t="e">
        <f>'Pque N Mundo II'!#REF!</f>
        <v>#REF!</v>
      </c>
      <c r="Q26" s="477" t="e">
        <f t="shared" si="6"/>
        <v>#REF!</v>
      </c>
      <c r="R26" s="478" t="e">
        <f t="shared" si="7"/>
        <v>#REF!</v>
      </c>
      <c r="S26" s="480" t="e">
        <f t="shared" si="8"/>
        <v>#REF!</v>
      </c>
    </row>
    <row r="27" spans="1:19" ht="15.75" thickTop="1" x14ac:dyDescent="0.25">
      <c r="A27" t="s">
        <v>273</v>
      </c>
      <c r="B27" s="52" t="s">
        <v>33</v>
      </c>
      <c r="C27" s="451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D27" s="458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E27" s="482" t="e">
        <f t="shared" si="0"/>
        <v>#REF!</v>
      </c>
      <c r="F27" s="458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G27" s="457" t="e">
        <f t="shared" si="1"/>
        <v>#REF!</v>
      </c>
      <c r="H27" s="458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I27" s="457" t="e">
        <f t="shared" si="2"/>
        <v>#REF!</v>
      </c>
      <c r="J27" s="455" t="e">
        <f t="shared" si="4"/>
        <v>#REF!</v>
      </c>
      <c r="K27" s="456" t="e">
        <f t="shared" si="5"/>
        <v>#REF!</v>
      </c>
      <c r="L27" s="458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M27" s="457" t="e">
        <f t="shared" si="3"/>
        <v>#REF!</v>
      </c>
      <c r="N27" s="458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O27" s="457" t="e">
        <f t="shared" si="9"/>
        <v>#REF!</v>
      </c>
      <c r="P27" s="458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Q27" s="457" t="e">
        <f t="shared" si="6"/>
        <v>#REF!</v>
      </c>
      <c r="R27" s="455" t="e">
        <f t="shared" si="7"/>
        <v>#REF!</v>
      </c>
      <c r="S27" s="459" t="e">
        <f t="shared" si="8"/>
        <v>#REF!</v>
      </c>
    </row>
    <row r="28" spans="1:19" x14ac:dyDescent="0.25">
      <c r="A28" t="s">
        <v>273</v>
      </c>
      <c r="B28" s="409" t="s">
        <v>21</v>
      </c>
      <c r="C28" s="460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D28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E28" s="461" t="e">
        <f t="shared" si="0"/>
        <v>#REF!</v>
      </c>
      <c r="F28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G28" s="463" t="e">
        <f t="shared" si="1"/>
        <v>#REF!</v>
      </c>
      <c r="H28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I28" s="457" t="e">
        <f t="shared" si="2"/>
        <v>#REF!</v>
      </c>
      <c r="J28" s="464" t="e">
        <f t="shared" si="4"/>
        <v>#REF!</v>
      </c>
      <c r="K28" s="465" t="e">
        <f t="shared" si="5"/>
        <v>#REF!</v>
      </c>
      <c r="L28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M28" s="463" t="e">
        <f t="shared" si="3"/>
        <v>#REF!</v>
      </c>
      <c r="N28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O28" s="463" t="e">
        <f t="shared" si="9"/>
        <v>#REF!</v>
      </c>
      <c r="P28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Q28" s="457" t="e">
        <f t="shared" si="6"/>
        <v>#REF!</v>
      </c>
      <c r="R28" s="464" t="e">
        <f t="shared" si="7"/>
        <v>#REF!</v>
      </c>
      <c r="S28" s="466" t="e">
        <f t="shared" si="8"/>
        <v>#REF!</v>
      </c>
    </row>
    <row r="29" spans="1:19" x14ac:dyDescent="0.25">
      <c r="A29" t="s">
        <v>273</v>
      </c>
      <c r="B29" s="409" t="s">
        <v>52</v>
      </c>
      <c r="C29" s="460" t="e">
        <f>'UBS Carandiru'!#REF!</f>
        <v>#REF!</v>
      </c>
      <c r="D29" s="462" t="e">
        <f>'UBS Carandiru'!#REF!</f>
        <v>#REF!</v>
      </c>
      <c r="E29" s="461" t="e">
        <f t="shared" si="0"/>
        <v>#REF!</v>
      </c>
      <c r="F29" s="462" t="e">
        <f>'UBS Carandiru'!#REF!</f>
        <v>#REF!</v>
      </c>
      <c r="G29" s="463" t="e">
        <f t="shared" si="1"/>
        <v>#REF!</v>
      </c>
      <c r="H29" s="462" t="e">
        <f>'UBS Carandiru'!#REF!</f>
        <v>#REF!</v>
      </c>
      <c r="I29" s="457" t="e">
        <f t="shared" si="2"/>
        <v>#REF!</v>
      </c>
      <c r="J29" s="464" t="e">
        <f t="shared" si="4"/>
        <v>#REF!</v>
      </c>
      <c r="K29" s="465" t="e">
        <f t="shared" si="5"/>
        <v>#REF!</v>
      </c>
      <c r="L29" s="462" t="e">
        <f>'UBS Carandiru'!#REF!</f>
        <v>#REF!</v>
      </c>
      <c r="M29" s="463" t="e">
        <f t="shared" si="3"/>
        <v>#REF!</v>
      </c>
      <c r="N29" s="462" t="e">
        <f>'UBS Carandiru'!#REF!</f>
        <v>#REF!</v>
      </c>
      <c r="O29" s="463" t="e">
        <f t="shared" si="9"/>
        <v>#REF!</v>
      </c>
      <c r="P29" s="462" t="e">
        <f>'UBS Carandiru'!#REF!</f>
        <v>#REF!</v>
      </c>
      <c r="Q29" s="457" t="e">
        <f t="shared" si="6"/>
        <v>#REF!</v>
      </c>
      <c r="R29" s="464" t="e">
        <f t="shared" si="7"/>
        <v>#REF!</v>
      </c>
      <c r="S29" s="466" t="e">
        <f t="shared" si="8"/>
        <v>#REF!</v>
      </c>
    </row>
    <row r="30" spans="1:19" x14ac:dyDescent="0.25">
      <c r="A30" t="s">
        <v>273</v>
      </c>
      <c r="B30" s="409" t="s">
        <v>44</v>
      </c>
      <c r="C30" s="460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D30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E30" s="461" t="e">
        <f t="shared" si="0"/>
        <v>#REF!</v>
      </c>
      <c r="F30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G30" s="463" t="e">
        <f t="shared" si="1"/>
        <v>#REF!</v>
      </c>
      <c r="H30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I30" s="457" t="e">
        <f t="shared" si="2"/>
        <v>#REF!</v>
      </c>
      <c r="J30" s="464" t="e">
        <f t="shared" si="4"/>
        <v>#REF!</v>
      </c>
      <c r="K30" s="465" t="e">
        <f t="shared" si="5"/>
        <v>#REF!</v>
      </c>
      <c r="L30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M30" s="463" t="e">
        <f t="shared" si="3"/>
        <v>#REF!</v>
      </c>
      <c r="N30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O30" s="463" t="e">
        <f t="shared" si="9"/>
        <v>#REF!</v>
      </c>
      <c r="P30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Q30" s="457" t="e">
        <f t="shared" si="6"/>
        <v>#REF!</v>
      </c>
      <c r="R30" s="464" t="e">
        <f t="shared" si="7"/>
        <v>#REF!</v>
      </c>
      <c r="S30" s="466" t="e">
        <f t="shared" si="8"/>
        <v>#REF!</v>
      </c>
    </row>
    <row r="31" spans="1:19" x14ac:dyDescent="0.25">
      <c r="A31" t="s">
        <v>273</v>
      </c>
      <c r="B31" s="409" t="s">
        <v>42</v>
      </c>
      <c r="C31" s="460" t="e">
        <f>'UBS Izolina Mazzei'!#REF!</f>
        <v>#REF!</v>
      </c>
      <c r="D31" s="462" t="e">
        <f>'UBS Izolina Mazzei'!#REF!</f>
        <v>#REF!</v>
      </c>
      <c r="E31" s="461" t="e">
        <f t="shared" si="0"/>
        <v>#REF!</v>
      </c>
      <c r="F31" s="462" t="e">
        <f>'UBS Izolina Mazzei'!#REF!</f>
        <v>#REF!</v>
      </c>
      <c r="G31" s="463" t="e">
        <f t="shared" si="1"/>
        <v>#REF!</v>
      </c>
      <c r="H31" s="462" t="e">
        <f>'UBS Izolina Mazzei'!#REF!</f>
        <v>#REF!</v>
      </c>
      <c r="I31" s="457" t="e">
        <f t="shared" si="2"/>
        <v>#REF!</v>
      </c>
      <c r="J31" s="464" t="e">
        <f t="shared" si="4"/>
        <v>#REF!</v>
      </c>
      <c r="K31" s="465" t="e">
        <f t="shared" si="5"/>
        <v>#REF!</v>
      </c>
      <c r="L31" s="462" t="e">
        <f>'UBS Izolina Mazzei'!#REF!</f>
        <v>#REF!</v>
      </c>
      <c r="M31" s="463" t="e">
        <f t="shared" si="3"/>
        <v>#REF!</v>
      </c>
      <c r="N31" s="462" t="e">
        <f>'UBS Izolina Mazzei'!#REF!</f>
        <v>#REF!</v>
      </c>
      <c r="O31" s="463" t="e">
        <f t="shared" si="9"/>
        <v>#REF!</v>
      </c>
      <c r="P31" s="462" t="e">
        <f>'UBS Izolina Mazzei'!#REF!</f>
        <v>#REF!</v>
      </c>
      <c r="Q31" s="457" t="e">
        <f t="shared" si="6"/>
        <v>#REF!</v>
      </c>
      <c r="R31" s="464" t="e">
        <f t="shared" si="7"/>
        <v>#REF!</v>
      </c>
      <c r="S31" s="466" t="e">
        <f t="shared" si="8"/>
        <v>#REF!</v>
      </c>
    </row>
    <row r="32" spans="1:19" x14ac:dyDescent="0.25">
      <c r="A32" t="s">
        <v>273</v>
      </c>
      <c r="B32" s="409" t="s">
        <v>22</v>
      </c>
      <c r="C32" s="460" t="e">
        <f>'UBS J Brasil'!#REF!+'UBS V Guilherme'!#REF!+'UBS V Medeiros'!#REF!+'UBS Carandiru'!#REF!</f>
        <v>#REF!</v>
      </c>
      <c r="D32" s="462" t="e">
        <f>'UBS J Brasil'!#REF!+'UBS V Guilherme'!#REF!+'UBS V Medeiros'!#REF!+'UBS Carandiru'!#REF!</f>
        <v>#REF!</v>
      </c>
      <c r="E32" s="461" t="e">
        <f t="shared" si="0"/>
        <v>#REF!</v>
      </c>
      <c r="F32" s="462" t="e">
        <f>'UBS J Brasil'!#REF!+'UBS V Guilherme'!#REF!+'UBS V Medeiros'!#REF!+'UBS Carandiru'!#REF!</f>
        <v>#REF!</v>
      </c>
      <c r="G32" s="463" t="e">
        <f t="shared" si="1"/>
        <v>#REF!</v>
      </c>
      <c r="H32" s="462" t="e">
        <f>'UBS J Brasil'!#REF!+'UBS V Guilherme'!#REF!+'UBS V Medeiros'!#REF!+'UBS Carandiru'!#REF!</f>
        <v>#REF!</v>
      </c>
      <c r="I32" s="457" t="e">
        <f t="shared" si="2"/>
        <v>#REF!</v>
      </c>
      <c r="J32" s="464" t="e">
        <f t="shared" si="4"/>
        <v>#REF!</v>
      </c>
      <c r="K32" s="465" t="e">
        <f t="shared" si="5"/>
        <v>#REF!</v>
      </c>
      <c r="L32" s="462" t="e">
        <f>'UBS J Brasil'!#REF!+'UBS V Guilherme'!#REF!+'UBS V Medeiros'!#REF!+'UBS Carandiru'!#REF!</f>
        <v>#REF!</v>
      </c>
      <c r="M32" s="463" t="e">
        <f t="shared" si="3"/>
        <v>#REF!</v>
      </c>
      <c r="N32" s="462" t="e">
        <f>'UBS J Brasil'!#REF!+'UBS V Guilherme'!#REF!+'UBS V Medeiros'!#REF!+'UBS Carandiru'!#REF!</f>
        <v>#REF!</v>
      </c>
      <c r="O32" s="463" t="e">
        <f t="shared" si="9"/>
        <v>#REF!</v>
      </c>
      <c r="P32" s="462" t="e">
        <f>'UBS J Brasil'!#REF!+'UBS V Guilherme'!#REF!+'UBS V Medeiros'!#REF!+'UBS Carandiru'!#REF!</f>
        <v>#REF!</v>
      </c>
      <c r="Q32" s="457" t="e">
        <f t="shared" si="6"/>
        <v>#REF!</v>
      </c>
      <c r="R32" s="464" t="e">
        <f t="shared" si="7"/>
        <v>#REF!</v>
      </c>
      <c r="S32" s="466" t="e">
        <f t="shared" si="8"/>
        <v>#REF!</v>
      </c>
    </row>
    <row r="33" spans="1:19" x14ac:dyDescent="0.25">
      <c r="A33" t="s">
        <v>273</v>
      </c>
      <c r="B33" s="409" t="s">
        <v>51</v>
      </c>
      <c r="C33" s="460" t="e">
        <f>'UBS Carandiru'!#REF!</f>
        <v>#REF!</v>
      </c>
      <c r="D33" s="462" t="e">
        <f>'UBS Carandiru'!#REF!</f>
        <v>#REF!</v>
      </c>
      <c r="E33" s="461" t="e">
        <f t="shared" si="0"/>
        <v>#REF!</v>
      </c>
      <c r="F33" s="462" t="e">
        <f>'UBS Carandiru'!#REF!</f>
        <v>#REF!</v>
      </c>
      <c r="G33" s="463" t="e">
        <f t="shared" si="1"/>
        <v>#REF!</v>
      </c>
      <c r="H33" s="462" t="e">
        <f>'UBS Carandiru'!#REF!</f>
        <v>#REF!</v>
      </c>
      <c r="I33" s="457" t="e">
        <f t="shared" si="2"/>
        <v>#REF!</v>
      </c>
      <c r="J33" s="464" t="e">
        <f t="shared" si="4"/>
        <v>#REF!</v>
      </c>
      <c r="K33" s="465" t="e">
        <f t="shared" si="5"/>
        <v>#REF!</v>
      </c>
      <c r="L33" s="462" t="e">
        <f>'UBS Carandiru'!#REF!</f>
        <v>#REF!</v>
      </c>
      <c r="M33" s="463" t="e">
        <f t="shared" si="3"/>
        <v>#REF!</v>
      </c>
      <c r="N33" s="462" t="e">
        <f>'UBS Carandiru'!#REF!</f>
        <v>#REF!</v>
      </c>
      <c r="O33" s="463" t="e">
        <f t="shared" si="9"/>
        <v>#REF!</v>
      </c>
      <c r="P33" s="462" t="e">
        <f>'UBS Carandiru'!#REF!</f>
        <v>#REF!</v>
      </c>
      <c r="Q33" s="457" t="e">
        <f t="shared" si="6"/>
        <v>#REF!</v>
      </c>
      <c r="R33" s="464" t="e">
        <f t="shared" si="7"/>
        <v>#REF!</v>
      </c>
      <c r="S33" s="466" t="e">
        <f t="shared" si="8"/>
        <v>#REF!</v>
      </c>
    </row>
    <row r="34" spans="1:19" x14ac:dyDescent="0.25">
      <c r="A34" t="s">
        <v>273</v>
      </c>
      <c r="B34" s="409" t="s">
        <v>23</v>
      </c>
      <c r="C34" s="460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D34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E34" s="461" t="e">
        <f t="shared" si="0"/>
        <v>#REF!</v>
      </c>
      <c r="F34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G34" s="463" t="e">
        <f t="shared" si="1"/>
        <v>#REF!</v>
      </c>
      <c r="H34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I34" s="457" t="e">
        <f t="shared" si="2"/>
        <v>#REF!</v>
      </c>
      <c r="J34" s="464" t="e">
        <f t="shared" si="4"/>
        <v>#REF!</v>
      </c>
      <c r="K34" s="465" t="e">
        <f t="shared" si="5"/>
        <v>#REF!</v>
      </c>
      <c r="L34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M34" s="463" t="e">
        <f t="shared" si="3"/>
        <v>#REF!</v>
      </c>
      <c r="N34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O34" s="463" t="e">
        <f t="shared" si="9"/>
        <v>#REF!</v>
      </c>
      <c r="P34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Q34" s="457" t="e">
        <f t="shared" si="6"/>
        <v>#REF!</v>
      </c>
      <c r="R34" s="464" t="e">
        <f t="shared" si="7"/>
        <v>#REF!</v>
      </c>
      <c r="S34" s="466" t="e">
        <f t="shared" si="8"/>
        <v>#REF!</v>
      </c>
    </row>
    <row r="35" spans="1:19" x14ac:dyDescent="0.25">
      <c r="A35" t="s">
        <v>273</v>
      </c>
      <c r="B35" s="409" t="s">
        <v>24</v>
      </c>
      <c r="C35" s="460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D35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E35" s="461" t="e">
        <f t="shared" si="0"/>
        <v>#REF!</v>
      </c>
      <c r="F35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G35" s="463" t="e">
        <f t="shared" si="1"/>
        <v>#REF!</v>
      </c>
      <c r="H35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I35" s="457" t="e">
        <f t="shared" si="2"/>
        <v>#REF!</v>
      </c>
      <c r="J35" s="464" t="e">
        <f t="shared" si="4"/>
        <v>#REF!</v>
      </c>
      <c r="K35" s="465" t="e">
        <f t="shared" si="5"/>
        <v>#REF!</v>
      </c>
      <c r="L35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M35" s="463" t="e">
        <f t="shared" si="3"/>
        <v>#REF!</v>
      </c>
      <c r="N35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O35" s="463" t="e">
        <f t="shared" si="9"/>
        <v>#REF!</v>
      </c>
      <c r="P35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Q35" s="457" t="e">
        <f t="shared" si="6"/>
        <v>#REF!</v>
      </c>
      <c r="R35" s="464" t="e">
        <f t="shared" si="7"/>
        <v>#REF!</v>
      </c>
      <c r="S35" s="466" t="e">
        <f t="shared" si="8"/>
        <v>#REF!</v>
      </c>
    </row>
    <row r="36" spans="1:19" x14ac:dyDescent="0.25">
      <c r="A36" t="s">
        <v>273</v>
      </c>
      <c r="B36" s="409" t="s">
        <v>25</v>
      </c>
      <c r="C36" s="460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D36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E36" s="461" t="e">
        <f t="shared" si="0"/>
        <v>#REF!</v>
      </c>
      <c r="F36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G36" s="463" t="e">
        <f t="shared" si="1"/>
        <v>#REF!</v>
      </c>
      <c r="H36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I36" s="457" t="e">
        <f t="shared" ref="I36:I58" si="14">H36-C36</f>
        <v>#REF!</v>
      </c>
      <c r="J36" s="464" t="e">
        <f t="shared" si="4"/>
        <v>#REF!</v>
      </c>
      <c r="K36" s="465" t="e">
        <f t="shared" si="5"/>
        <v>#REF!</v>
      </c>
      <c r="L36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M36" s="463" t="e">
        <f t="shared" ref="M36:M58" si="15">L36-C36</f>
        <v>#REF!</v>
      </c>
      <c r="N36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O36" s="463" t="e">
        <f t="shared" si="9"/>
        <v>#REF!</v>
      </c>
      <c r="P36" s="46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Q36" s="457" t="e">
        <f t="shared" si="6"/>
        <v>#REF!</v>
      </c>
      <c r="R36" s="464" t="e">
        <f t="shared" si="7"/>
        <v>#REF!</v>
      </c>
      <c r="S36" s="466" t="e">
        <f t="shared" si="8"/>
        <v>#REF!</v>
      </c>
    </row>
    <row r="37" spans="1:19" x14ac:dyDescent="0.25">
      <c r="A37" t="s">
        <v>273</v>
      </c>
      <c r="B37" s="506" t="s">
        <v>337</v>
      </c>
      <c r="C37" s="460" t="e">
        <f>SUM('UBS J Brasil'!#REF!,'UBS V Guilherme'!#REF!,'UBS V Medeiros'!#REF!)</f>
        <v>#REF!</v>
      </c>
      <c r="D37" s="462" t="e">
        <f>SUM('UBS J Brasil'!#REF!,'UBS V Guilherme'!#REF!,'UBS V Medeiros'!#REF!)</f>
        <v>#REF!</v>
      </c>
      <c r="E37" s="461" t="e">
        <f t="shared" si="0"/>
        <v>#REF!</v>
      </c>
      <c r="F37" s="462" t="e">
        <f>SUM('UBS J Brasil'!#REF!,'UBS V Guilherme'!#REF!,'UBS V Medeiros'!#REF!)</f>
        <v>#REF!</v>
      </c>
      <c r="G37" s="463" t="e">
        <f t="shared" si="1"/>
        <v>#REF!</v>
      </c>
      <c r="H37" s="462" t="e">
        <f>SUM('UBS J Brasil'!#REF!,'UBS V Guilherme'!#REF!,'UBS V Medeiros'!#REF!)</f>
        <v>#REF!</v>
      </c>
      <c r="I37" s="457" t="e">
        <f t="shared" si="14"/>
        <v>#REF!</v>
      </c>
      <c r="J37" s="464" t="e">
        <f t="shared" si="4"/>
        <v>#REF!</v>
      </c>
      <c r="K37" s="465" t="e">
        <f t="shared" ref="K37:K38" si="16">J37-(3*$C37)</f>
        <v>#REF!</v>
      </c>
      <c r="L37" s="462" t="e">
        <f>SUM('UBS J Brasil'!#REF!,'UBS V Guilherme'!#REF!,'UBS V Medeiros'!#REF!)</f>
        <v>#REF!</v>
      </c>
      <c r="M37" s="463" t="e">
        <f t="shared" si="15"/>
        <v>#REF!</v>
      </c>
      <c r="N37" s="462" t="e">
        <f>SUM('UBS J Brasil'!#REF!,'UBS V Guilherme'!#REF!,'UBS V Medeiros'!#REF!)</f>
        <v>#REF!</v>
      </c>
      <c r="O37" s="463" t="e">
        <f t="shared" si="9"/>
        <v>#REF!</v>
      </c>
      <c r="P37" s="462" t="e">
        <f>SUM('UBS J Brasil'!#REF!,'UBS V Guilherme'!#REF!,'UBS V Medeiros'!#REF!)</f>
        <v>#REF!</v>
      </c>
      <c r="Q37" s="457" t="e">
        <f t="shared" si="6"/>
        <v>#REF!</v>
      </c>
      <c r="R37" s="464" t="e">
        <f t="shared" ref="R37" si="17">P37+L37+N37</f>
        <v>#REF!</v>
      </c>
      <c r="S37" s="466" t="e">
        <f t="shared" ref="S37" si="18">R37-(3*$C37)</f>
        <v>#REF!</v>
      </c>
    </row>
    <row r="38" spans="1:19" x14ac:dyDescent="0.25">
      <c r="A38" t="s">
        <v>273</v>
      </c>
      <c r="B38" s="409" t="s">
        <v>46</v>
      </c>
      <c r="C38" s="460" t="e">
        <f>SUM('UBS V Guilherme'!#REF!,'UBS V Medeiros'!#REF!,'UBS Jardim Japão'!#REF!)</f>
        <v>#REF!</v>
      </c>
      <c r="D38" s="462" t="e">
        <f>SUM('UBS V Guilherme'!#REF!,'UBS V Medeiros'!#REF!,'UBS Jardim Japão'!#REF!)</f>
        <v>#REF!</v>
      </c>
      <c r="E38" s="461" t="e">
        <f t="shared" si="0"/>
        <v>#REF!</v>
      </c>
      <c r="F38" s="462" t="e">
        <f>SUM('UBS V Guilherme'!#REF!,'UBS V Medeiros'!#REF!,'UBS Jardim Japão'!#REF!)</f>
        <v>#REF!</v>
      </c>
      <c r="G38" s="463" t="e">
        <f t="shared" si="1"/>
        <v>#REF!</v>
      </c>
      <c r="H38" s="462" t="e">
        <f>SUM('UBS V Guilherme'!#REF!,'UBS V Medeiros'!#REF!,'UBS Jardim Japão'!#REF!)</f>
        <v>#REF!</v>
      </c>
      <c r="I38" s="457" t="e">
        <f t="shared" si="14"/>
        <v>#REF!</v>
      </c>
      <c r="J38" s="464" t="e">
        <f t="shared" si="4"/>
        <v>#REF!</v>
      </c>
      <c r="K38" s="465" t="e">
        <f t="shared" si="16"/>
        <v>#REF!</v>
      </c>
      <c r="L38" s="462" t="e">
        <f>SUM('UBS V Guilherme'!#REF!,'UBS V Medeiros'!#REF!,'UBS Jardim Japão'!#REF!)</f>
        <v>#REF!</v>
      </c>
      <c r="M38" s="463" t="e">
        <f t="shared" si="15"/>
        <v>#REF!</v>
      </c>
      <c r="N38" s="462" t="e">
        <f>SUM('UBS V Guilherme'!#REF!,'UBS V Medeiros'!#REF!,'UBS Jardim Japão'!#REF!)</f>
        <v>#REF!</v>
      </c>
      <c r="O38" s="463" t="e">
        <f t="shared" si="9"/>
        <v>#REF!</v>
      </c>
      <c r="P38" s="462" t="e">
        <f>SUM('UBS V Guilherme'!#REF!,'UBS V Medeiros'!#REF!,'UBS Jardim Japão'!#REF!)</f>
        <v>#REF!</v>
      </c>
      <c r="Q38" s="457" t="e">
        <f t="shared" si="6"/>
        <v>#REF!</v>
      </c>
      <c r="R38" s="464" t="e">
        <f t="shared" si="7"/>
        <v>#REF!</v>
      </c>
      <c r="S38" s="466" t="e">
        <f t="shared" si="8"/>
        <v>#REF!</v>
      </c>
    </row>
    <row r="39" spans="1:19" x14ac:dyDescent="0.25">
      <c r="A39" t="s">
        <v>273</v>
      </c>
      <c r="B39" s="409" t="s">
        <v>47</v>
      </c>
      <c r="C39" s="460" t="e">
        <f>'UBS Jardim Japão'!#REF!+'UBS Carandiru'!#REF!</f>
        <v>#REF!</v>
      </c>
      <c r="D39" s="462" t="e">
        <f>'UBS Jardim Japão'!#REF!+'UBS Carandiru'!#REF!</f>
        <v>#REF!</v>
      </c>
      <c r="E39" s="461" t="e">
        <f t="shared" si="0"/>
        <v>#REF!</v>
      </c>
      <c r="F39" s="462" t="e">
        <f>'UBS Jardim Japão'!#REF!+'UBS Carandiru'!#REF!</f>
        <v>#REF!</v>
      </c>
      <c r="G39" s="463" t="e">
        <f t="shared" si="1"/>
        <v>#REF!</v>
      </c>
      <c r="H39" s="462" t="e">
        <f>'UBS Jardim Japão'!#REF!+'UBS Carandiru'!#REF!</f>
        <v>#REF!</v>
      </c>
      <c r="I39" s="457" t="e">
        <f t="shared" si="14"/>
        <v>#REF!</v>
      </c>
      <c r="J39" s="464" t="e">
        <f t="shared" si="4"/>
        <v>#REF!</v>
      </c>
      <c r="K39" s="465" t="e">
        <f t="shared" si="5"/>
        <v>#REF!</v>
      </c>
      <c r="L39" s="462" t="e">
        <f>'UBS Jardim Japão'!#REF!+'UBS Carandiru'!#REF!</f>
        <v>#REF!</v>
      </c>
      <c r="M39" s="463" t="e">
        <f t="shared" si="15"/>
        <v>#REF!</v>
      </c>
      <c r="N39" s="462" t="e">
        <f>'UBS Jardim Japão'!#REF!+'UBS Carandiru'!#REF!</f>
        <v>#REF!</v>
      </c>
      <c r="O39" s="463" t="e">
        <f t="shared" si="9"/>
        <v>#REF!</v>
      </c>
      <c r="P39" s="462" t="e">
        <f>'UBS Jardim Japão'!#REF!+'UBS Carandiru'!#REF!</f>
        <v>#REF!</v>
      </c>
      <c r="Q39" s="457" t="e">
        <f t="shared" si="6"/>
        <v>#REF!</v>
      </c>
      <c r="R39" s="464" t="e">
        <f t="shared" si="7"/>
        <v>#REF!</v>
      </c>
      <c r="S39" s="466" t="e">
        <f t="shared" si="8"/>
        <v>#REF!</v>
      </c>
    </row>
    <row r="40" spans="1:19" x14ac:dyDescent="0.25">
      <c r="A40" t="s">
        <v>273</v>
      </c>
      <c r="B40" s="409" t="s">
        <v>26</v>
      </c>
      <c r="C40" s="460" t="e">
        <f>'UBS V Medeiros'!#REF!+'UBS Izolina Mazzei'!#REF!+'UBS Jardim Japão'!#REF!+'UBS Vila Ede'!#REF!+'UBS Vila Leonor'!#REF!+'UBS Vila Sabrina'!#REF!+'UBS Carandiru'!#REF!+'UBS Vila Maria P Gnecco'!#REF!+'UBS Jardim Julieta'!#REF!</f>
        <v>#REF!</v>
      </c>
      <c r="D40" s="462" t="e">
        <f>'UBS V Medeiros'!#REF!+'UBS Izolina Mazzei'!#REF!+'UBS Jardim Japão'!#REF!+'UBS Vila Ede'!#REF!+'UBS Vila Leonor'!#REF!+'UBS Vila Sabrina'!#REF!+'UBS Carandiru'!#REF!+'UBS Vila Maria P Gnecco'!#REF!+'UBS Jardim Julieta'!#REF!</f>
        <v>#REF!</v>
      </c>
      <c r="E40" s="461" t="e">
        <f t="shared" si="0"/>
        <v>#REF!</v>
      </c>
      <c r="F40" s="462" t="e">
        <f>'UBS V Medeiros'!#REF!+'UBS Izolina Mazzei'!#REF!+'UBS Jardim Japão'!#REF!+'UBS Vila Ede'!#REF!+'UBS Vila Leonor'!#REF!+'UBS Vila Sabrina'!#REF!+'UBS Carandiru'!#REF!+'UBS Vila Maria P Gnecco'!#REF!+'UBS Jardim Julieta'!#REF!</f>
        <v>#REF!</v>
      </c>
      <c r="G40" s="463" t="e">
        <f t="shared" si="1"/>
        <v>#REF!</v>
      </c>
      <c r="H40" s="462" t="e">
        <f>'UBS V Medeiros'!#REF!+'UBS Izolina Mazzei'!#REF!+'UBS Jardim Japão'!#REF!+'UBS Vila Ede'!#REF!+'UBS Vila Leonor'!#REF!+'UBS Vila Sabrina'!#REF!+'UBS Carandiru'!#REF!+'UBS Vila Maria P Gnecco'!#REF!+'UBS Jardim Julieta'!#REF!</f>
        <v>#REF!</v>
      </c>
      <c r="I40" s="457" t="e">
        <f t="shared" si="14"/>
        <v>#REF!</v>
      </c>
      <c r="J40" s="464" t="e">
        <f t="shared" si="4"/>
        <v>#REF!</v>
      </c>
      <c r="K40" s="465" t="e">
        <f t="shared" si="5"/>
        <v>#REF!</v>
      </c>
      <c r="L40" s="462" t="e">
        <f>'UBS V Medeiros'!#REF!+'UBS Izolina Mazzei'!#REF!+'UBS Jardim Japão'!#REF!+'UBS Vila Ede'!#REF!+'UBS Vila Leonor'!#REF!+'UBS Vila Sabrina'!#REF!+'UBS Carandiru'!#REF!+'UBS Vila Maria P Gnecco'!#REF!+'UBS Jardim Julieta'!#REF!</f>
        <v>#REF!</v>
      </c>
      <c r="M40" s="463" t="e">
        <f t="shared" si="15"/>
        <v>#REF!</v>
      </c>
      <c r="N40" s="462" t="e">
        <f>'UBS V Medeiros'!#REF!+'UBS Izolina Mazzei'!#REF!+'UBS Jardim Japão'!#REF!+'UBS Vila Ede'!#REF!+'UBS Vila Leonor'!#REF!+'UBS Vila Sabrina'!#REF!+'UBS Carandiru'!#REF!+'UBS Vila Maria P Gnecco'!#REF!+'UBS Jardim Julieta'!#REF!</f>
        <v>#REF!</v>
      </c>
      <c r="O40" s="463" t="e">
        <f t="shared" si="9"/>
        <v>#REF!</v>
      </c>
      <c r="P40" s="462" t="e">
        <f>'UBS V Medeiros'!#REF!+'UBS Izolina Mazzei'!#REF!+'UBS Jardim Japão'!#REF!+'UBS Vila Ede'!#REF!+'UBS Vila Leonor'!#REF!+'UBS Vila Sabrina'!#REF!+'UBS Carandiru'!#REF!+'UBS Vila Maria P Gnecco'!#REF!+'UBS Jardim Julieta'!#REF!</f>
        <v>#REF!</v>
      </c>
      <c r="Q40" s="457" t="e">
        <f t="shared" si="6"/>
        <v>#REF!</v>
      </c>
      <c r="R40" s="464" t="e">
        <f t="shared" si="7"/>
        <v>#REF!</v>
      </c>
      <c r="S40" s="466" t="e">
        <f t="shared" si="8"/>
        <v>#REF!</v>
      </c>
    </row>
    <row r="41" spans="1:19" x14ac:dyDescent="0.25">
      <c r="A41" t="s">
        <v>273</v>
      </c>
      <c r="B41" s="409" t="s">
        <v>34</v>
      </c>
      <c r="C41" s="460" t="e">
        <f>'UBS J Brasil'!#REF!+'UBS V Guilherme'!#REF!+'UBS V Medeiros'!#REF!+'UBS Izolina Mazzei'!#REF!+'UBS Jardim Japão'!#REF!+'UBS Vila Leonor'!#REF!+'UBS Carandiru'!#REF!+'UBS Vila Maria P Gnecco'!#REF!+'UBS Jardim Julieta'!#REF!</f>
        <v>#REF!</v>
      </c>
      <c r="D41" s="462" t="e">
        <f>'UBS J Brasil'!#REF!+'UBS V Guilherme'!#REF!+'UBS V Medeiros'!#REF!+'UBS Izolina Mazzei'!#REF!+'UBS Jardim Japão'!#REF!+'UBS Vila Leonor'!#REF!+'UBS Carandiru'!#REF!+'UBS Vila Maria P Gnecco'!#REF!+'UBS Jardim Julieta'!#REF!</f>
        <v>#REF!</v>
      </c>
      <c r="E41" s="461" t="e">
        <f t="shared" si="0"/>
        <v>#REF!</v>
      </c>
      <c r="F41" s="462" t="e">
        <f>'UBS J Brasil'!#REF!+'UBS V Guilherme'!#REF!+'UBS V Medeiros'!#REF!+'UBS Izolina Mazzei'!#REF!+'UBS Jardim Japão'!#REF!+'UBS Vila Leonor'!#REF!+'UBS Carandiru'!#REF!+'UBS Vila Maria P Gnecco'!#REF!+'UBS Jardim Julieta'!#REF!</f>
        <v>#REF!</v>
      </c>
      <c r="G41" s="463" t="e">
        <f t="shared" si="1"/>
        <v>#REF!</v>
      </c>
      <c r="H41" s="462" t="e">
        <f>'UBS J Brasil'!#REF!+'UBS V Guilherme'!#REF!+'UBS V Medeiros'!#REF!+'UBS Izolina Mazzei'!#REF!+'UBS Jardim Japão'!#REF!+'UBS Vila Leonor'!#REF!+'UBS Carandiru'!#REF!+'UBS Vila Maria P Gnecco'!#REF!+'UBS Jardim Julieta'!#REF!</f>
        <v>#REF!</v>
      </c>
      <c r="I41" s="457" t="e">
        <f t="shared" si="14"/>
        <v>#REF!</v>
      </c>
      <c r="J41" s="464" t="e">
        <f t="shared" si="4"/>
        <v>#REF!</v>
      </c>
      <c r="K41" s="465" t="e">
        <f t="shared" si="5"/>
        <v>#REF!</v>
      </c>
      <c r="L41" s="462" t="e">
        <f>'UBS J Brasil'!#REF!+'UBS V Guilherme'!#REF!+'UBS V Medeiros'!#REF!+'UBS Izolina Mazzei'!#REF!+'UBS Jardim Japão'!#REF!+'UBS Vila Leonor'!#REF!+'UBS Carandiru'!#REF!+'UBS Vila Maria P Gnecco'!#REF!+'UBS Jardim Julieta'!#REF!</f>
        <v>#REF!</v>
      </c>
      <c r="M41" s="463" t="e">
        <f t="shared" si="15"/>
        <v>#REF!</v>
      </c>
      <c r="N41" s="462" t="e">
        <f>'UBS J Brasil'!#REF!+'UBS V Guilherme'!#REF!+'UBS V Medeiros'!#REF!+'UBS Izolina Mazzei'!#REF!+'UBS Jardim Japão'!#REF!+'UBS Vila Leonor'!#REF!+'UBS Carandiru'!#REF!+'UBS Vila Maria P Gnecco'!#REF!+'UBS Jardim Julieta'!#REF!</f>
        <v>#REF!</v>
      </c>
      <c r="O41" s="463" t="e">
        <f t="shared" si="9"/>
        <v>#REF!</v>
      </c>
      <c r="P41" s="462" t="e">
        <f>'UBS J Brasil'!#REF!+'UBS V Guilherme'!#REF!+'UBS V Medeiros'!#REF!+'UBS Izolina Mazzei'!#REF!+'UBS Jardim Japão'!#REF!+'UBS Vila Leonor'!#REF!+'UBS Carandiru'!#REF!+'UBS Vila Maria P Gnecco'!#REF!+'UBS Jardim Julieta'!#REF!</f>
        <v>#REF!</v>
      </c>
      <c r="Q41" s="457" t="e">
        <f t="shared" si="6"/>
        <v>#REF!</v>
      </c>
      <c r="R41" s="464" t="e">
        <f t="shared" si="7"/>
        <v>#REF!</v>
      </c>
      <c r="S41" s="466" t="e">
        <f t="shared" si="8"/>
        <v>#REF!</v>
      </c>
    </row>
    <row r="42" spans="1:19" x14ac:dyDescent="0.25">
      <c r="A42" t="s">
        <v>273</v>
      </c>
      <c r="B42" s="409" t="s">
        <v>48</v>
      </c>
      <c r="C42" s="460" t="e">
        <f>'UBS Vila Ede'!#REF!</f>
        <v>#REF!</v>
      </c>
      <c r="D42" s="462" t="e">
        <f>'UBS Vila Ede'!#REF!</f>
        <v>#REF!</v>
      </c>
      <c r="E42" s="461" t="e">
        <f t="shared" si="0"/>
        <v>#REF!</v>
      </c>
      <c r="F42" s="462" t="e">
        <f>'UBS Vila Ede'!#REF!</f>
        <v>#REF!</v>
      </c>
      <c r="G42" s="463" t="e">
        <f t="shared" si="1"/>
        <v>#REF!</v>
      </c>
      <c r="H42" s="462" t="e">
        <f>'UBS Vila Ede'!#REF!</f>
        <v>#REF!</v>
      </c>
      <c r="I42" s="457" t="e">
        <f t="shared" si="14"/>
        <v>#REF!</v>
      </c>
      <c r="J42" s="464" t="e">
        <f t="shared" si="4"/>
        <v>#REF!</v>
      </c>
      <c r="K42" s="465" t="e">
        <f t="shared" si="5"/>
        <v>#REF!</v>
      </c>
      <c r="L42" s="462" t="e">
        <f>'UBS Vila Ede'!#REF!</f>
        <v>#REF!</v>
      </c>
      <c r="M42" s="463" t="e">
        <f t="shared" si="15"/>
        <v>#REF!</v>
      </c>
      <c r="N42" s="462" t="e">
        <f>'UBS Vila Ede'!#REF!</f>
        <v>#REF!</v>
      </c>
      <c r="O42" s="463" t="e">
        <f t="shared" si="9"/>
        <v>#REF!</v>
      </c>
      <c r="P42" s="462" t="e">
        <f>'UBS Vila Ede'!#REF!</f>
        <v>#REF!</v>
      </c>
      <c r="Q42" s="457" t="e">
        <f t="shared" si="6"/>
        <v>#REF!</v>
      </c>
      <c r="R42" s="464" t="e">
        <f t="shared" si="7"/>
        <v>#REF!</v>
      </c>
      <c r="S42" s="466" t="e">
        <f t="shared" si="8"/>
        <v>#REF!</v>
      </c>
    </row>
    <row r="43" spans="1:19" x14ac:dyDescent="0.25">
      <c r="A43" t="s">
        <v>273</v>
      </c>
      <c r="B43" s="409" t="s">
        <v>280</v>
      </c>
      <c r="C43" s="460" t="e">
        <f>'UBS Izolina Mazzei'!#REF!</f>
        <v>#REF!</v>
      </c>
      <c r="D43" s="462" t="e">
        <f>'UBS Izolina Mazzei'!#REF!</f>
        <v>#REF!</v>
      </c>
      <c r="E43" s="461" t="e">
        <f t="shared" si="0"/>
        <v>#REF!</v>
      </c>
      <c r="F43" s="462" t="e">
        <f>'UBS Izolina Mazzei'!#REF!</f>
        <v>#REF!</v>
      </c>
      <c r="G43" s="463" t="e">
        <f t="shared" si="1"/>
        <v>#REF!</v>
      </c>
      <c r="H43" s="462" t="e">
        <f>'UBS Izolina Mazzei'!#REF!</f>
        <v>#REF!</v>
      </c>
      <c r="I43" s="457" t="e">
        <f t="shared" si="14"/>
        <v>#REF!</v>
      </c>
      <c r="J43" s="464" t="e">
        <f t="shared" si="4"/>
        <v>#REF!</v>
      </c>
      <c r="K43" s="465" t="e">
        <f t="shared" si="5"/>
        <v>#REF!</v>
      </c>
      <c r="L43" s="462" t="e">
        <f>'UBS Izolina Mazzei'!#REF!</f>
        <v>#REF!</v>
      </c>
      <c r="M43" s="463" t="e">
        <f t="shared" si="15"/>
        <v>#REF!</v>
      </c>
      <c r="N43" s="462" t="e">
        <f>'UBS Izolina Mazzei'!#REF!</f>
        <v>#REF!</v>
      </c>
      <c r="O43" s="463" t="e">
        <f t="shared" si="9"/>
        <v>#REF!</v>
      </c>
      <c r="P43" s="462" t="e">
        <f>'UBS Izolina Mazzei'!#REF!</f>
        <v>#REF!</v>
      </c>
      <c r="Q43" s="457" t="e">
        <f t="shared" si="6"/>
        <v>#REF!</v>
      </c>
      <c r="R43" s="464" t="e">
        <f t="shared" si="7"/>
        <v>#REF!</v>
      </c>
      <c r="S43" s="466" t="e">
        <f t="shared" si="8"/>
        <v>#REF!</v>
      </c>
    </row>
    <row r="44" spans="1:19" ht="15.75" thickBot="1" x14ac:dyDescent="0.3">
      <c r="A44" t="s">
        <v>273</v>
      </c>
      <c r="B44" s="410" t="s">
        <v>53</v>
      </c>
      <c r="C44" s="467" t="e">
        <f>'UBS Carandiru'!#REF!</f>
        <v>#REF!</v>
      </c>
      <c r="D44" s="469" t="e">
        <f>'UBS Carandiru'!#REF!</f>
        <v>#REF!</v>
      </c>
      <c r="E44" s="468" t="e">
        <f t="shared" si="0"/>
        <v>#REF!</v>
      </c>
      <c r="F44" s="469" t="e">
        <f>'UBS Carandiru'!#REF!</f>
        <v>#REF!</v>
      </c>
      <c r="G44" s="470" t="e">
        <f t="shared" si="1"/>
        <v>#REF!</v>
      </c>
      <c r="H44" s="469" t="e">
        <f>'UBS Carandiru'!#REF!</f>
        <v>#REF!</v>
      </c>
      <c r="I44" s="470" t="e">
        <f t="shared" si="14"/>
        <v>#REF!</v>
      </c>
      <c r="J44" s="471" t="e">
        <f t="shared" si="4"/>
        <v>#REF!</v>
      </c>
      <c r="K44" s="472" t="e">
        <f t="shared" si="5"/>
        <v>#REF!</v>
      </c>
      <c r="L44" s="469" t="e">
        <f>'UBS Carandiru'!#REF!</f>
        <v>#REF!</v>
      </c>
      <c r="M44" s="470" t="e">
        <f t="shared" si="15"/>
        <v>#REF!</v>
      </c>
      <c r="N44" s="469" t="e">
        <f>'UBS Carandiru'!#REF!</f>
        <v>#REF!</v>
      </c>
      <c r="O44" s="470" t="e">
        <f t="shared" si="9"/>
        <v>#REF!</v>
      </c>
      <c r="P44" s="469" t="e">
        <f>'UBS Carandiru'!#REF!</f>
        <v>#REF!</v>
      </c>
      <c r="Q44" s="470" t="e">
        <f t="shared" si="6"/>
        <v>#REF!</v>
      </c>
      <c r="R44" s="471" t="e">
        <f t="shared" si="7"/>
        <v>#REF!</v>
      </c>
      <c r="S44" s="473" t="e">
        <f t="shared" si="8"/>
        <v>#REF!</v>
      </c>
    </row>
    <row r="45" spans="1:19" ht="15.75" thickBot="1" x14ac:dyDescent="0.3">
      <c r="B45" s="70" t="s">
        <v>291</v>
      </c>
      <c r="C45" s="474" t="e">
        <f>SUM(C27:C44)</f>
        <v>#REF!</v>
      </c>
      <c r="D45" s="476" t="e">
        <f t="shared" ref="D45:L45" si="19">SUM(D27:D44)</f>
        <v>#REF!</v>
      </c>
      <c r="E45" s="475" t="e">
        <f t="shared" si="0"/>
        <v>#REF!</v>
      </c>
      <c r="F45" s="476" t="e">
        <f t="shared" si="19"/>
        <v>#REF!</v>
      </c>
      <c r="G45" s="477" t="e">
        <f t="shared" si="1"/>
        <v>#REF!</v>
      </c>
      <c r="H45" s="476" t="e">
        <f t="shared" ref="H45" si="20">SUM(H27:H44)</f>
        <v>#REF!</v>
      </c>
      <c r="I45" s="477" t="e">
        <f t="shared" si="14"/>
        <v>#REF!</v>
      </c>
      <c r="J45" s="478" t="e">
        <f t="shared" si="4"/>
        <v>#REF!</v>
      </c>
      <c r="K45" s="479" t="e">
        <f t="shared" si="5"/>
        <v>#REF!</v>
      </c>
      <c r="L45" s="476" t="e">
        <f t="shared" si="19"/>
        <v>#REF!</v>
      </c>
      <c r="M45" s="477" t="e">
        <f t="shared" si="15"/>
        <v>#REF!</v>
      </c>
      <c r="N45" s="476" t="e">
        <f t="shared" ref="N45" si="21">SUM(N27:N44)</f>
        <v>#REF!</v>
      </c>
      <c r="O45" s="477" t="e">
        <f t="shared" si="9"/>
        <v>#REF!</v>
      </c>
      <c r="P45" s="476" t="e">
        <f t="shared" ref="P45" si="22">SUM(P27:P44)</f>
        <v>#REF!</v>
      </c>
      <c r="Q45" s="477" t="e">
        <f t="shared" si="6"/>
        <v>#REF!</v>
      </c>
      <c r="R45" s="478" t="e">
        <f t="shared" si="7"/>
        <v>#REF!</v>
      </c>
      <c r="S45" s="480" t="e">
        <f t="shared" si="8"/>
        <v>#REF!</v>
      </c>
    </row>
    <row r="46" spans="1:19" ht="15.75" thickTop="1" x14ac:dyDescent="0.25">
      <c r="A46" t="s">
        <v>274</v>
      </c>
      <c r="B46" s="52" t="s">
        <v>161</v>
      </c>
      <c r="C46" s="451" t="e">
        <f>'EMAD na UBS JD JAPÃO'!#REF!</f>
        <v>#REF!</v>
      </c>
      <c r="D46" s="458" t="e">
        <f>'EMAD na UBS JD JAPÃO'!#REF!</f>
        <v>#REF!</v>
      </c>
      <c r="E46" s="482" t="e">
        <f t="shared" si="0"/>
        <v>#REF!</v>
      </c>
      <c r="F46" s="458" t="e">
        <f>'EMAD na UBS JD JAPÃO'!#REF!</f>
        <v>#REF!</v>
      </c>
      <c r="G46" s="457" t="e">
        <f t="shared" si="1"/>
        <v>#REF!</v>
      </c>
      <c r="H46" s="458" t="e">
        <f>'EMAD na UBS JD JAPÃO'!#REF!</f>
        <v>#REF!</v>
      </c>
      <c r="I46" s="457" t="e">
        <f t="shared" si="14"/>
        <v>#REF!</v>
      </c>
      <c r="J46" s="455" t="e">
        <f t="shared" si="4"/>
        <v>#REF!</v>
      </c>
      <c r="K46" s="456" t="e">
        <f t="shared" si="5"/>
        <v>#REF!</v>
      </c>
      <c r="L46" s="458" t="e">
        <f>'EMAD na UBS JD JAPÃO'!#REF!</f>
        <v>#REF!</v>
      </c>
      <c r="M46" s="457" t="e">
        <f t="shared" si="15"/>
        <v>#REF!</v>
      </c>
      <c r="N46" s="458" t="e">
        <f>'EMAD na UBS JD JAPÃO'!#REF!</f>
        <v>#REF!</v>
      </c>
      <c r="O46" s="457" t="e">
        <f t="shared" si="9"/>
        <v>#REF!</v>
      </c>
      <c r="P46" s="458" t="e">
        <f>'EMAD na UBS JD JAPÃO'!#REF!</f>
        <v>#REF!</v>
      </c>
      <c r="Q46" s="457" t="e">
        <f t="shared" si="6"/>
        <v>#REF!</v>
      </c>
      <c r="R46" s="455" t="e">
        <f t="shared" si="7"/>
        <v>#REF!</v>
      </c>
      <c r="S46" s="459" t="e">
        <f t="shared" si="8"/>
        <v>#REF!</v>
      </c>
    </row>
    <row r="47" spans="1:19" x14ac:dyDescent="0.25">
      <c r="A47" t="s">
        <v>274</v>
      </c>
      <c r="B47" s="409" t="s">
        <v>162</v>
      </c>
      <c r="C47" s="460" t="e">
        <f>'EMAD na UBS JD JAPÃO'!#REF!</f>
        <v>#REF!</v>
      </c>
      <c r="D47" s="462" t="e">
        <f>'EMAD na UBS JD JAPÃO'!#REF!</f>
        <v>#REF!</v>
      </c>
      <c r="E47" s="461" t="e">
        <f t="shared" si="0"/>
        <v>#REF!</v>
      </c>
      <c r="F47" s="462" t="e">
        <f>'EMAD na UBS JD JAPÃO'!#REF!</f>
        <v>#REF!</v>
      </c>
      <c r="G47" s="463" t="e">
        <f t="shared" si="1"/>
        <v>#REF!</v>
      </c>
      <c r="H47" s="462" t="e">
        <f>'EMAD na UBS JD JAPÃO'!#REF!</f>
        <v>#REF!</v>
      </c>
      <c r="I47" s="457" t="e">
        <f t="shared" si="14"/>
        <v>#REF!</v>
      </c>
      <c r="J47" s="464" t="e">
        <f t="shared" si="4"/>
        <v>#REF!</v>
      </c>
      <c r="K47" s="465" t="e">
        <f t="shared" si="5"/>
        <v>#REF!</v>
      </c>
      <c r="L47" s="462" t="e">
        <f>'EMAD na UBS JD JAPÃO'!#REF!</f>
        <v>#REF!</v>
      </c>
      <c r="M47" s="463" t="e">
        <f t="shared" si="15"/>
        <v>#REF!</v>
      </c>
      <c r="N47" s="462" t="e">
        <f>'EMAD na UBS JD JAPÃO'!#REF!</f>
        <v>#REF!</v>
      </c>
      <c r="O47" s="463" t="e">
        <f t="shared" si="9"/>
        <v>#REF!</v>
      </c>
      <c r="P47" s="462" t="e">
        <f>'EMAD na UBS JD JAPÃO'!#REF!</f>
        <v>#REF!</v>
      </c>
      <c r="Q47" s="457" t="e">
        <f t="shared" si="6"/>
        <v>#REF!</v>
      </c>
      <c r="R47" s="464" t="e">
        <f t="shared" si="7"/>
        <v>#REF!</v>
      </c>
      <c r="S47" s="466" t="e">
        <f t="shared" si="8"/>
        <v>#REF!</v>
      </c>
    </row>
    <row r="48" spans="1:19" x14ac:dyDescent="0.25">
      <c r="A48" t="s">
        <v>274</v>
      </c>
      <c r="B48" s="409" t="s">
        <v>167</v>
      </c>
      <c r="C48" s="460" t="e">
        <f>'EMAD na UBS JD JAPÃO'!#REF!</f>
        <v>#REF!</v>
      </c>
      <c r="D48" s="462" t="e">
        <f>'EMAD na UBS JD JAPÃO'!#REF!</f>
        <v>#REF!</v>
      </c>
      <c r="E48" s="461" t="e">
        <f t="shared" si="0"/>
        <v>#REF!</v>
      </c>
      <c r="F48" s="462" t="e">
        <f>'EMAD na UBS JD JAPÃO'!#REF!</f>
        <v>#REF!</v>
      </c>
      <c r="G48" s="463" t="e">
        <f t="shared" si="1"/>
        <v>#REF!</v>
      </c>
      <c r="H48" s="462" t="e">
        <f>'EMAD na UBS JD JAPÃO'!#REF!</f>
        <v>#REF!</v>
      </c>
      <c r="I48" s="457" t="e">
        <f t="shared" si="14"/>
        <v>#REF!</v>
      </c>
      <c r="J48" s="464" t="e">
        <f t="shared" si="4"/>
        <v>#REF!</v>
      </c>
      <c r="K48" s="465" t="e">
        <f t="shared" si="5"/>
        <v>#REF!</v>
      </c>
      <c r="L48" s="462" t="e">
        <f>'EMAD na UBS JD JAPÃO'!#REF!</f>
        <v>#REF!</v>
      </c>
      <c r="M48" s="463" t="e">
        <f t="shared" si="15"/>
        <v>#REF!</v>
      </c>
      <c r="N48" s="462" t="e">
        <f>'EMAD na UBS JD JAPÃO'!#REF!</f>
        <v>#REF!</v>
      </c>
      <c r="O48" s="463" t="e">
        <f t="shared" si="9"/>
        <v>#REF!</v>
      </c>
      <c r="P48" s="462" t="e">
        <f>'EMAD na UBS JD JAPÃO'!#REF!</f>
        <v>#REF!</v>
      </c>
      <c r="Q48" s="457" t="e">
        <f t="shared" si="6"/>
        <v>#REF!</v>
      </c>
      <c r="R48" s="464" t="e">
        <f t="shared" si="7"/>
        <v>#REF!</v>
      </c>
      <c r="S48" s="466" t="e">
        <f t="shared" si="8"/>
        <v>#REF!</v>
      </c>
    </row>
    <row r="49" spans="1:19" ht="15.75" thickBot="1" x14ac:dyDescent="0.3">
      <c r="A49" t="s">
        <v>274</v>
      </c>
      <c r="B49" s="410" t="s">
        <v>163</v>
      </c>
      <c r="C49" s="467" t="e">
        <f>'EMAD na UBS JD JAPÃO'!#REF!</f>
        <v>#REF!</v>
      </c>
      <c r="D49" s="469" t="e">
        <f>'EMAD na UBS JD JAPÃO'!#REF!</f>
        <v>#REF!</v>
      </c>
      <c r="E49" s="468" t="e">
        <f t="shared" si="0"/>
        <v>#REF!</v>
      </c>
      <c r="F49" s="469" t="e">
        <f>'EMAD na UBS JD JAPÃO'!#REF!</f>
        <v>#REF!</v>
      </c>
      <c r="G49" s="470" t="e">
        <f t="shared" si="1"/>
        <v>#REF!</v>
      </c>
      <c r="H49" s="469" t="e">
        <f>'EMAD na UBS JD JAPÃO'!#REF!</f>
        <v>#REF!</v>
      </c>
      <c r="I49" s="470" t="e">
        <f t="shared" si="14"/>
        <v>#REF!</v>
      </c>
      <c r="J49" s="471" t="e">
        <f t="shared" si="4"/>
        <v>#REF!</v>
      </c>
      <c r="K49" s="472" t="e">
        <f t="shared" si="5"/>
        <v>#REF!</v>
      </c>
      <c r="L49" s="469" t="e">
        <f>'EMAD na UBS JD JAPÃO'!#REF!</f>
        <v>#REF!</v>
      </c>
      <c r="M49" s="470" t="e">
        <f t="shared" si="15"/>
        <v>#REF!</v>
      </c>
      <c r="N49" s="469" t="e">
        <f>'EMAD na UBS JD JAPÃO'!#REF!</f>
        <v>#REF!</v>
      </c>
      <c r="O49" s="470" t="e">
        <f t="shared" si="9"/>
        <v>#REF!</v>
      </c>
      <c r="P49" s="469" t="e">
        <f>'EMAD na UBS JD JAPÃO'!#REF!</f>
        <v>#REF!</v>
      </c>
      <c r="Q49" s="470" t="e">
        <f t="shared" si="6"/>
        <v>#REF!</v>
      </c>
      <c r="R49" s="471" t="e">
        <f t="shared" si="7"/>
        <v>#REF!</v>
      </c>
      <c r="S49" s="473" t="e">
        <f t="shared" si="8"/>
        <v>#REF!</v>
      </c>
    </row>
    <row r="50" spans="1:19" ht="15.75" thickBot="1" x14ac:dyDescent="0.3">
      <c r="B50" s="51" t="s">
        <v>290</v>
      </c>
      <c r="C50" s="483" t="e">
        <f>'EMAD na UBS JD JAPÃO'!#REF!</f>
        <v>#REF!</v>
      </c>
      <c r="D50" s="485" t="e">
        <f>'EMAD na UBS JD JAPÃO'!#REF!</f>
        <v>#REF!</v>
      </c>
      <c r="E50" s="484" t="e">
        <f t="shared" si="0"/>
        <v>#REF!</v>
      </c>
      <c r="F50" s="485" t="e">
        <f>'EMAD na UBS JD JAPÃO'!#REF!</f>
        <v>#REF!</v>
      </c>
      <c r="G50" s="481" t="e">
        <f t="shared" si="1"/>
        <v>#REF!</v>
      </c>
      <c r="H50" s="485" t="e">
        <f>'EMAD na UBS JD JAPÃO'!#REF!</f>
        <v>#REF!</v>
      </c>
      <c r="I50" s="481" t="e">
        <f t="shared" si="14"/>
        <v>#REF!</v>
      </c>
      <c r="J50" s="486" t="e">
        <f t="shared" si="4"/>
        <v>#REF!</v>
      </c>
      <c r="K50" s="487" t="e">
        <f t="shared" si="5"/>
        <v>#REF!</v>
      </c>
      <c r="L50" s="485" t="e">
        <f>'EMAD na UBS JD JAPÃO'!#REF!</f>
        <v>#REF!</v>
      </c>
      <c r="M50" s="481" t="e">
        <f t="shared" si="15"/>
        <v>#REF!</v>
      </c>
      <c r="N50" s="485" t="e">
        <f>'EMAD na UBS JD JAPÃO'!#REF!</f>
        <v>#REF!</v>
      </c>
      <c r="O50" s="481" t="e">
        <f t="shared" si="9"/>
        <v>#REF!</v>
      </c>
      <c r="P50" s="485" t="e">
        <f>'EMAD na UBS JD JAPÃO'!#REF!</f>
        <v>#REF!</v>
      </c>
      <c r="Q50" s="481" t="e">
        <f t="shared" si="6"/>
        <v>#REF!</v>
      </c>
      <c r="R50" s="486" t="e">
        <f t="shared" si="7"/>
        <v>#REF!</v>
      </c>
      <c r="S50" s="488" t="e">
        <f t="shared" si="8"/>
        <v>#REF!</v>
      </c>
    </row>
    <row r="51" spans="1:19" ht="15.75" thickTop="1" x14ac:dyDescent="0.25">
      <c r="A51" t="s">
        <v>265</v>
      </c>
      <c r="B51" s="52" t="s">
        <v>344</v>
      </c>
      <c r="C51" s="451">
        <f>SUM('AMA JD BRASIL'!B7,'AMA VL QUILHERME'!B7,'AMA VL MEDEIROS'!B7)</f>
        <v>56</v>
      </c>
      <c r="D51" s="458">
        <f>SUM('AMA JD BRASIL'!C7,'AMA VL QUILHERME'!C7,'AMA VL MEDEIROS'!C7)</f>
        <v>32.799999999999997</v>
      </c>
      <c r="E51" s="482">
        <f t="shared" ref="E51:E52" si="23">D51-C51</f>
        <v>-23.200000000000003</v>
      </c>
      <c r="F51" s="458">
        <f>SUM('AMA JD BRASIL'!E7,'AMA VL QUILHERME'!E7,'AMA VL MEDEIROS'!E7)</f>
        <v>34.799999999999997</v>
      </c>
      <c r="G51" s="457">
        <f t="shared" ref="G51:G52" si="24">F51-C51</f>
        <v>-21.200000000000003</v>
      </c>
      <c r="H51" s="458">
        <f>SUM('AMA JD BRASIL'!G7,'AMA VL QUILHERME'!G7,'AMA VL MEDEIROS'!G7)</f>
        <v>32.799999999999997</v>
      </c>
      <c r="I51" s="457">
        <f t="shared" si="14"/>
        <v>-23.200000000000003</v>
      </c>
      <c r="J51" s="455">
        <f t="shared" si="4"/>
        <v>100.39999999999999</v>
      </c>
      <c r="K51" s="456">
        <f t="shared" ref="K51:K59" si="25">J51-(3*$C51)</f>
        <v>-67.600000000000009</v>
      </c>
      <c r="L51" s="458">
        <f>SUM('AMA JD BRASIL'!K7,'AMA VL QUILHERME'!K7,'AMA VL MEDEIROS'!K7)</f>
        <v>39</v>
      </c>
      <c r="M51" s="457">
        <f t="shared" si="15"/>
        <v>-17</v>
      </c>
      <c r="N51" s="458">
        <f>SUM('AMA JD BRASIL'!M7,'AMA VL QUILHERME'!M7,'AMA VL MEDEIROS'!M7)</f>
        <v>41</v>
      </c>
      <c r="O51" s="457">
        <f t="shared" si="9"/>
        <v>-15</v>
      </c>
      <c r="P51" s="458">
        <f>SUM('AMA JD BRASIL'!O7,'AMA VL QUILHERME'!O7,'AMA VL MEDEIROS'!O7)</f>
        <v>46</v>
      </c>
      <c r="Q51" s="457">
        <f t="shared" si="6"/>
        <v>-10</v>
      </c>
      <c r="R51" s="455">
        <f>P51+L51+N51</f>
        <v>126</v>
      </c>
      <c r="S51" s="459">
        <f>R51-(3*$C51)</f>
        <v>-42</v>
      </c>
    </row>
    <row r="52" spans="1:19" ht="15.75" thickBot="1" x14ac:dyDescent="0.3">
      <c r="A52" t="s">
        <v>265</v>
      </c>
      <c r="B52" s="410" t="s">
        <v>345</v>
      </c>
      <c r="C52" s="467">
        <f>SUM('AMA JD BRASIL'!B8,'AMA VL QUILHERME'!B8,'AMA VL MEDEIROS'!B8)</f>
        <v>36</v>
      </c>
      <c r="D52" s="469">
        <f>SUM('AMA JD BRASIL'!C8,'AMA VL QUILHERME'!C8,'AMA VL MEDEIROS'!C8)</f>
        <v>12</v>
      </c>
      <c r="E52" s="468">
        <f t="shared" si="23"/>
        <v>-24</v>
      </c>
      <c r="F52" s="469">
        <f>SUM('AMA JD BRASIL'!E8,'AMA VL QUILHERME'!E8,'AMA VL MEDEIROS'!E8)</f>
        <v>16</v>
      </c>
      <c r="G52" s="470">
        <f t="shared" si="24"/>
        <v>-20</v>
      </c>
      <c r="H52" s="469">
        <f>SUM('AMA JD BRASIL'!G8,'AMA VL QUILHERME'!G8,'AMA VL MEDEIROS'!G8)</f>
        <v>13</v>
      </c>
      <c r="I52" s="470">
        <f t="shared" si="14"/>
        <v>-23</v>
      </c>
      <c r="J52" s="471">
        <f t="shared" si="4"/>
        <v>41</v>
      </c>
      <c r="K52" s="472">
        <f t="shared" si="25"/>
        <v>-67</v>
      </c>
      <c r="L52" s="469">
        <f>SUM('AMA JD BRASIL'!K8,'AMA VL QUILHERME'!K8,'AMA VL MEDEIROS'!K8)</f>
        <v>18</v>
      </c>
      <c r="M52" s="470">
        <f t="shared" si="15"/>
        <v>-18</v>
      </c>
      <c r="N52" s="469">
        <f>SUM('AMA JD BRASIL'!M8,'AMA VL QUILHERME'!M8,'AMA VL MEDEIROS'!M8)</f>
        <v>16</v>
      </c>
      <c r="O52" s="470">
        <f t="shared" si="9"/>
        <v>-20</v>
      </c>
      <c r="P52" s="469">
        <f>SUM('AMA JD BRASIL'!O8,'AMA VL QUILHERME'!O8,'AMA VL MEDEIROS'!O8)</f>
        <v>14</v>
      </c>
      <c r="Q52" s="470">
        <f t="shared" si="6"/>
        <v>-22</v>
      </c>
      <c r="R52" s="471">
        <f>P52+L52+N52</f>
        <v>48</v>
      </c>
      <c r="S52" s="473">
        <f>R52-(3*$C52)</f>
        <v>-60</v>
      </c>
    </row>
    <row r="53" spans="1:19" ht="15.75" thickBot="1" x14ac:dyDescent="0.3">
      <c r="B53" s="51" t="s">
        <v>294</v>
      </c>
      <c r="C53" s="483">
        <f>SUM(C51:C52)</f>
        <v>92</v>
      </c>
      <c r="D53" s="485">
        <f>SUM(D51:D52)</f>
        <v>44.8</v>
      </c>
      <c r="E53" s="484">
        <f t="shared" ref="E53:E58" si="26">D53-C53</f>
        <v>-47.2</v>
      </c>
      <c r="F53" s="485">
        <f>SUM(F51:F52)</f>
        <v>50.8</v>
      </c>
      <c r="G53" s="481">
        <f t="shared" ref="G53:G58" si="27">F53-C53</f>
        <v>-41.2</v>
      </c>
      <c r="H53" s="485">
        <f>SUM(H51:H52)</f>
        <v>45.8</v>
      </c>
      <c r="I53" s="481">
        <f t="shared" si="14"/>
        <v>-46.2</v>
      </c>
      <c r="J53" s="486">
        <f t="shared" si="4"/>
        <v>141.39999999999998</v>
      </c>
      <c r="K53" s="487">
        <f t="shared" si="25"/>
        <v>-134.60000000000002</v>
      </c>
      <c r="L53" s="485">
        <f>SUM(L51:L52)</f>
        <v>57</v>
      </c>
      <c r="M53" s="481">
        <f t="shared" si="15"/>
        <v>-35</v>
      </c>
      <c r="N53" s="485">
        <f>SUM(N51:N52)</f>
        <v>57</v>
      </c>
      <c r="O53" s="481">
        <f t="shared" si="9"/>
        <v>-35</v>
      </c>
      <c r="P53" s="485">
        <f>SUM(P51:P52)</f>
        <v>60</v>
      </c>
      <c r="Q53" s="481">
        <f t="shared" si="6"/>
        <v>-32</v>
      </c>
      <c r="R53" s="486">
        <f t="shared" si="7"/>
        <v>174</v>
      </c>
      <c r="S53" s="488">
        <f t="shared" si="8"/>
        <v>-102</v>
      </c>
    </row>
    <row r="54" spans="1:19" ht="15.75" thickTop="1" x14ac:dyDescent="0.25">
      <c r="A54" t="s">
        <v>269</v>
      </c>
      <c r="B54" s="425" t="s">
        <v>338</v>
      </c>
      <c r="C54" s="451">
        <f>'PSM V MARIA BAIXA'!B19</f>
        <v>40</v>
      </c>
      <c r="D54" s="458">
        <f>'PSM V MARIA BAIXA'!C19</f>
        <v>30.5</v>
      </c>
      <c r="E54" s="482">
        <f t="shared" si="26"/>
        <v>-9.5</v>
      </c>
      <c r="F54" s="458">
        <f>'PSM V MARIA BAIXA'!E19</f>
        <v>33</v>
      </c>
      <c r="G54" s="457">
        <f t="shared" si="27"/>
        <v>-7</v>
      </c>
      <c r="H54" s="458">
        <f>'PSM V MARIA BAIXA'!G19</f>
        <v>34.5</v>
      </c>
      <c r="I54" s="457">
        <f t="shared" si="14"/>
        <v>-5.5</v>
      </c>
      <c r="J54" s="455">
        <f>D54+F54+H54</f>
        <v>98</v>
      </c>
      <c r="K54" s="456">
        <f t="shared" si="25"/>
        <v>-22</v>
      </c>
      <c r="L54" s="458">
        <f>'PSM V MARIA BAIXA'!K19</f>
        <v>36</v>
      </c>
      <c r="M54" s="457">
        <f t="shared" si="15"/>
        <v>-4</v>
      </c>
      <c r="N54" s="458">
        <f>'PSM V MARIA BAIXA'!M19</f>
        <v>38.5</v>
      </c>
      <c r="O54" s="457">
        <f t="shared" si="9"/>
        <v>-1.5</v>
      </c>
      <c r="P54" s="458">
        <f>'PSM V MARIA BAIXA'!O19</f>
        <v>41.5</v>
      </c>
      <c r="Q54" s="457">
        <f t="shared" si="6"/>
        <v>1.5</v>
      </c>
      <c r="R54" s="455">
        <f t="shared" si="7"/>
        <v>116</v>
      </c>
      <c r="S54" s="459">
        <f>R54-(3*$C54)</f>
        <v>-4</v>
      </c>
    </row>
    <row r="55" spans="1:19" x14ac:dyDescent="0.25">
      <c r="A55" t="s">
        <v>269</v>
      </c>
      <c r="B55" s="425" t="s">
        <v>339</v>
      </c>
      <c r="C55" s="460">
        <f>'PSM V MARIA BAIXA'!B20</f>
        <v>1</v>
      </c>
      <c r="D55" s="462">
        <f>'PSM V MARIA BAIXA'!C20</f>
        <v>1</v>
      </c>
      <c r="E55" s="461">
        <f t="shared" si="26"/>
        <v>0</v>
      </c>
      <c r="F55" s="462">
        <f>'PSM V MARIA BAIXA'!E20</f>
        <v>1</v>
      </c>
      <c r="G55" s="463">
        <f t="shared" si="27"/>
        <v>0</v>
      </c>
      <c r="H55" s="462">
        <f>'PSM V MARIA BAIXA'!G20</f>
        <v>1</v>
      </c>
      <c r="I55" s="457">
        <f t="shared" si="14"/>
        <v>0</v>
      </c>
      <c r="J55" s="464">
        <f>D55+F55+H55</f>
        <v>3</v>
      </c>
      <c r="K55" s="465">
        <f t="shared" si="25"/>
        <v>0</v>
      </c>
      <c r="L55" s="462">
        <f>'PSM V MARIA BAIXA'!K20</f>
        <v>1</v>
      </c>
      <c r="M55" s="463">
        <f t="shared" si="15"/>
        <v>0</v>
      </c>
      <c r="N55" s="462">
        <f>'PSM V MARIA BAIXA'!M20</f>
        <v>1</v>
      </c>
      <c r="O55" s="463">
        <f t="shared" si="9"/>
        <v>0</v>
      </c>
      <c r="P55" s="462">
        <f>'PSM V MARIA BAIXA'!O20</f>
        <v>1</v>
      </c>
      <c r="Q55" s="457">
        <f t="shared" si="6"/>
        <v>0</v>
      </c>
      <c r="R55" s="464">
        <f t="shared" si="7"/>
        <v>3</v>
      </c>
      <c r="S55" s="466">
        <f t="shared" si="8"/>
        <v>0</v>
      </c>
    </row>
    <row r="56" spans="1:19" x14ac:dyDescent="0.25">
      <c r="A56" t="s">
        <v>269</v>
      </c>
      <c r="B56" s="426" t="s">
        <v>340</v>
      </c>
      <c r="C56" s="460">
        <f>'PSM V MARIA BAIXA'!B21</f>
        <v>14</v>
      </c>
      <c r="D56" s="462">
        <f>'PSM V MARIA BAIXA'!C21</f>
        <v>6</v>
      </c>
      <c r="E56" s="461">
        <f t="shared" si="26"/>
        <v>-8</v>
      </c>
      <c r="F56" s="462">
        <f>'PSM V MARIA BAIXA'!E21</f>
        <v>6</v>
      </c>
      <c r="G56" s="463">
        <f t="shared" si="27"/>
        <v>-8</v>
      </c>
      <c r="H56" s="462">
        <f>'PSM V MARIA BAIXA'!G21</f>
        <v>8</v>
      </c>
      <c r="I56" s="457">
        <f t="shared" si="14"/>
        <v>-6</v>
      </c>
      <c r="J56" s="464">
        <f>D56+F56+H56</f>
        <v>20</v>
      </c>
      <c r="K56" s="465">
        <f t="shared" si="25"/>
        <v>-22</v>
      </c>
      <c r="L56" s="462">
        <f>'PSM V MARIA BAIXA'!K21</f>
        <v>8</v>
      </c>
      <c r="M56" s="463">
        <f t="shared" si="15"/>
        <v>-6</v>
      </c>
      <c r="N56" s="462">
        <f>'PSM V MARIA BAIXA'!M21</f>
        <v>8</v>
      </c>
      <c r="O56" s="463">
        <f t="shared" si="9"/>
        <v>-6</v>
      </c>
      <c r="P56" s="462">
        <f>'PSM V MARIA BAIXA'!O21</f>
        <v>8</v>
      </c>
      <c r="Q56" s="457">
        <f t="shared" si="6"/>
        <v>-6</v>
      </c>
      <c r="R56" s="464">
        <f t="shared" si="7"/>
        <v>24</v>
      </c>
      <c r="S56" s="466">
        <f t="shared" si="8"/>
        <v>-18</v>
      </c>
    </row>
    <row r="57" spans="1:19" x14ac:dyDescent="0.25">
      <c r="A57" t="s">
        <v>269</v>
      </c>
      <c r="B57" s="427" t="s">
        <v>341</v>
      </c>
      <c r="C57" s="460">
        <f>'PSM V MARIA BAIXA'!B22</f>
        <v>28</v>
      </c>
      <c r="D57" s="462">
        <f>'PSM V MARIA BAIXA'!C22</f>
        <v>27.5</v>
      </c>
      <c r="E57" s="461">
        <f t="shared" si="26"/>
        <v>-0.5</v>
      </c>
      <c r="F57" s="462">
        <f>'PSM V MARIA BAIXA'!E22</f>
        <v>29.5</v>
      </c>
      <c r="G57" s="463">
        <f t="shared" si="27"/>
        <v>1.5</v>
      </c>
      <c r="H57" s="462">
        <f>'PSM V MARIA BAIXA'!G22</f>
        <v>28.5</v>
      </c>
      <c r="I57" s="457">
        <f t="shared" si="14"/>
        <v>0.5</v>
      </c>
      <c r="J57" s="464">
        <f>D57+F57+H57</f>
        <v>85.5</v>
      </c>
      <c r="K57" s="465">
        <f t="shared" si="25"/>
        <v>1.5</v>
      </c>
      <c r="L57" s="462">
        <f>'PSM V MARIA BAIXA'!K22</f>
        <v>26</v>
      </c>
      <c r="M57" s="463">
        <f t="shared" si="15"/>
        <v>-2</v>
      </c>
      <c r="N57" s="462">
        <f>'PSM V MARIA BAIXA'!M22</f>
        <v>26</v>
      </c>
      <c r="O57" s="463">
        <f t="shared" si="9"/>
        <v>-2</v>
      </c>
      <c r="P57" s="462">
        <f>'PSM V MARIA BAIXA'!O22</f>
        <v>29</v>
      </c>
      <c r="Q57" s="457">
        <f t="shared" si="6"/>
        <v>1</v>
      </c>
      <c r="R57" s="464">
        <f t="shared" si="7"/>
        <v>81</v>
      </c>
      <c r="S57" s="466">
        <f t="shared" si="8"/>
        <v>-3</v>
      </c>
    </row>
    <row r="58" spans="1:19" ht="15.75" thickBot="1" x14ac:dyDescent="0.3">
      <c r="A58" t="s">
        <v>269</v>
      </c>
      <c r="B58" s="428" t="s">
        <v>342</v>
      </c>
      <c r="C58" s="460">
        <f>'PSM V MARIA BAIXA'!B23</f>
        <v>1</v>
      </c>
      <c r="D58" s="462">
        <f>'PSM V MARIA BAIXA'!C23</f>
        <v>0</v>
      </c>
      <c r="E58" s="461">
        <f t="shared" si="26"/>
        <v>-1</v>
      </c>
      <c r="F58" s="462">
        <f>'PSM V MARIA BAIXA'!E23</f>
        <v>0</v>
      </c>
      <c r="G58" s="463">
        <f t="shared" si="27"/>
        <v>-1</v>
      </c>
      <c r="H58" s="462">
        <f>'PSM V MARIA BAIXA'!G23</f>
        <v>0</v>
      </c>
      <c r="I58" s="457">
        <f t="shared" si="14"/>
        <v>-1</v>
      </c>
      <c r="J58" s="464">
        <f>D58+F58+H58</f>
        <v>0</v>
      </c>
      <c r="K58" s="465">
        <f t="shared" si="25"/>
        <v>-3</v>
      </c>
      <c r="L58" s="462">
        <f>'PSM V MARIA BAIXA'!K23</f>
        <v>0</v>
      </c>
      <c r="M58" s="463">
        <f t="shared" si="15"/>
        <v>-1</v>
      </c>
      <c r="N58" s="462">
        <f>'PSM V MARIA BAIXA'!M23</f>
        <v>0</v>
      </c>
      <c r="O58" s="463">
        <f t="shared" si="9"/>
        <v>-1</v>
      </c>
      <c r="P58" s="462">
        <f>'PSM V MARIA BAIXA'!O23</f>
        <v>0</v>
      </c>
      <c r="Q58" s="457">
        <f t="shared" si="6"/>
        <v>-1</v>
      </c>
      <c r="R58" s="464">
        <f t="shared" si="7"/>
        <v>0</v>
      </c>
      <c r="S58" s="466">
        <f t="shared" si="8"/>
        <v>-3</v>
      </c>
    </row>
    <row r="59" spans="1:19" ht="15.75" thickBot="1" x14ac:dyDescent="0.3">
      <c r="B59" s="51" t="s">
        <v>289</v>
      </c>
      <c r="C59" s="483">
        <f>SUM(C54:C58)</f>
        <v>84</v>
      </c>
      <c r="D59" s="485">
        <f t="shared" ref="D59:I59" si="28">SUM(D54:D58)</f>
        <v>65</v>
      </c>
      <c r="E59" s="484">
        <f t="shared" si="28"/>
        <v>-19</v>
      </c>
      <c r="F59" s="485">
        <f t="shared" si="28"/>
        <v>69.5</v>
      </c>
      <c r="G59" s="481">
        <f t="shared" si="28"/>
        <v>-14.5</v>
      </c>
      <c r="H59" s="485">
        <f t="shared" si="28"/>
        <v>72</v>
      </c>
      <c r="I59" s="481">
        <f t="shared" si="28"/>
        <v>-12</v>
      </c>
      <c r="J59" s="486">
        <f t="shared" si="4"/>
        <v>206.5</v>
      </c>
      <c r="K59" s="487">
        <f t="shared" si="25"/>
        <v>-45.5</v>
      </c>
      <c r="L59" s="485">
        <f t="shared" ref="L59:P59" si="29">SUM(L54:L58)</f>
        <v>71</v>
      </c>
      <c r="M59" s="481">
        <f t="shared" si="29"/>
        <v>-13</v>
      </c>
      <c r="N59" s="485">
        <f t="shared" si="29"/>
        <v>73.5</v>
      </c>
      <c r="O59" s="481">
        <f t="shared" si="9"/>
        <v>-10.5</v>
      </c>
      <c r="P59" s="485">
        <f t="shared" si="29"/>
        <v>79.5</v>
      </c>
      <c r="Q59" s="481">
        <f t="shared" si="6"/>
        <v>-4.5</v>
      </c>
      <c r="R59" s="486">
        <f>P59+L59+N59</f>
        <v>224</v>
      </c>
      <c r="S59" s="488">
        <f>R59-(3*$C59)</f>
        <v>-28</v>
      </c>
    </row>
    <row r="60" spans="1:19" ht="15.75" thickTop="1" x14ac:dyDescent="0.25">
      <c r="A60" t="s">
        <v>270</v>
      </c>
      <c r="B60" s="52" t="s">
        <v>120</v>
      </c>
      <c r="C60" s="451" t="e">
        <f>'AMA E ISOLINA MAZZEI'!#REF!</f>
        <v>#REF!</v>
      </c>
      <c r="D60" s="458" t="e">
        <f>'AMA E ISOLINA MAZZEI'!#REF!</f>
        <v>#REF!</v>
      </c>
      <c r="E60" s="482" t="e">
        <f t="shared" ref="E60:E91" si="30">D60-C60</f>
        <v>#REF!</v>
      </c>
      <c r="F60" s="458" t="e">
        <f>'AMA E ISOLINA MAZZEI'!#REF!</f>
        <v>#REF!</v>
      </c>
      <c r="G60" s="457" t="e">
        <f t="shared" ref="G60:G91" si="31">F60-C60</f>
        <v>#REF!</v>
      </c>
      <c r="H60" s="458" t="e">
        <f>'AMA E ISOLINA MAZZEI'!#REF!</f>
        <v>#REF!</v>
      </c>
      <c r="I60" s="457" t="e">
        <f t="shared" ref="I60:I91" si="32">H60-C60</f>
        <v>#REF!</v>
      </c>
      <c r="J60" s="455" t="e">
        <f t="shared" si="4"/>
        <v>#REF!</v>
      </c>
      <c r="K60" s="456" t="e">
        <f t="shared" si="5"/>
        <v>#REF!</v>
      </c>
      <c r="L60" s="458" t="e">
        <f>'AMA E ISOLINA MAZZEI'!#REF!</f>
        <v>#REF!</v>
      </c>
      <c r="M60" s="457" t="e">
        <f t="shared" ref="M60:M91" si="33">L60-C60</f>
        <v>#REF!</v>
      </c>
      <c r="N60" s="458" t="e">
        <f>'AMA E ISOLINA MAZZEI'!#REF!</f>
        <v>#REF!</v>
      </c>
      <c r="O60" s="457" t="e">
        <f t="shared" si="9"/>
        <v>#REF!</v>
      </c>
      <c r="P60" s="458" t="e">
        <f>'AMA E ISOLINA MAZZEI'!#REF!</f>
        <v>#REF!</v>
      </c>
      <c r="Q60" s="457" t="e">
        <f t="shared" si="6"/>
        <v>#REF!</v>
      </c>
      <c r="R60" s="455" t="e">
        <f t="shared" si="7"/>
        <v>#REF!</v>
      </c>
      <c r="S60" s="459" t="e">
        <f t="shared" si="8"/>
        <v>#REF!</v>
      </c>
    </row>
    <row r="61" spans="1:19" x14ac:dyDescent="0.25">
      <c r="A61" t="s">
        <v>270</v>
      </c>
      <c r="B61" s="409" t="s">
        <v>121</v>
      </c>
      <c r="C61" s="460" t="e">
        <f>'AMA E ISOLINA MAZZEI'!#REF!</f>
        <v>#REF!</v>
      </c>
      <c r="D61" s="462" t="e">
        <f>'AMA E ISOLINA MAZZEI'!#REF!</f>
        <v>#REF!</v>
      </c>
      <c r="E61" s="461" t="e">
        <f t="shared" si="30"/>
        <v>#REF!</v>
      </c>
      <c r="F61" s="462" t="e">
        <f>'AMA E ISOLINA MAZZEI'!#REF!</f>
        <v>#REF!</v>
      </c>
      <c r="G61" s="463" t="e">
        <f t="shared" si="31"/>
        <v>#REF!</v>
      </c>
      <c r="H61" s="462" t="e">
        <f>'AMA E ISOLINA MAZZEI'!#REF!</f>
        <v>#REF!</v>
      </c>
      <c r="I61" s="457" t="e">
        <f t="shared" si="32"/>
        <v>#REF!</v>
      </c>
      <c r="J61" s="464" t="e">
        <f t="shared" si="4"/>
        <v>#REF!</v>
      </c>
      <c r="K61" s="465" t="e">
        <f t="shared" si="5"/>
        <v>#REF!</v>
      </c>
      <c r="L61" s="462" t="e">
        <f>'AMA E ISOLINA MAZZEI'!#REF!</f>
        <v>#REF!</v>
      </c>
      <c r="M61" s="463" t="e">
        <f t="shared" si="33"/>
        <v>#REF!</v>
      </c>
      <c r="N61" s="462" t="e">
        <f>'AMA E ISOLINA MAZZEI'!#REF!</f>
        <v>#REF!</v>
      </c>
      <c r="O61" s="463" t="e">
        <f t="shared" si="9"/>
        <v>#REF!</v>
      </c>
      <c r="P61" s="462" t="e">
        <f>'AMA E ISOLINA MAZZEI'!#REF!</f>
        <v>#REF!</v>
      </c>
      <c r="Q61" s="457" t="e">
        <f t="shared" si="6"/>
        <v>#REF!</v>
      </c>
      <c r="R61" s="464" t="e">
        <f t="shared" si="7"/>
        <v>#REF!</v>
      </c>
      <c r="S61" s="466" t="e">
        <f t="shared" si="8"/>
        <v>#REF!</v>
      </c>
    </row>
    <row r="62" spans="1:19" x14ac:dyDescent="0.25">
      <c r="A62" t="s">
        <v>270</v>
      </c>
      <c r="B62" s="409" t="s">
        <v>122</v>
      </c>
      <c r="C62" s="460" t="e">
        <f>'AMA E ISOLINA MAZZEI'!#REF!</f>
        <v>#REF!</v>
      </c>
      <c r="D62" s="462" t="e">
        <f>'AMA E ISOLINA MAZZEI'!#REF!</f>
        <v>#REF!</v>
      </c>
      <c r="E62" s="461" t="e">
        <f t="shared" si="30"/>
        <v>#REF!</v>
      </c>
      <c r="F62" s="462" t="e">
        <f>'AMA E ISOLINA MAZZEI'!#REF!</f>
        <v>#REF!</v>
      </c>
      <c r="G62" s="463" t="e">
        <f t="shared" si="31"/>
        <v>#REF!</v>
      </c>
      <c r="H62" s="462" t="e">
        <f>'AMA E ISOLINA MAZZEI'!#REF!</f>
        <v>#REF!</v>
      </c>
      <c r="I62" s="457" t="e">
        <f t="shared" si="32"/>
        <v>#REF!</v>
      </c>
      <c r="J62" s="464" t="e">
        <f t="shared" si="4"/>
        <v>#REF!</v>
      </c>
      <c r="K62" s="465" t="e">
        <f t="shared" si="5"/>
        <v>#REF!</v>
      </c>
      <c r="L62" s="462" t="e">
        <f>'AMA E ISOLINA MAZZEI'!#REF!</f>
        <v>#REF!</v>
      </c>
      <c r="M62" s="463" t="e">
        <f t="shared" si="33"/>
        <v>#REF!</v>
      </c>
      <c r="N62" s="462" t="e">
        <f>'AMA E ISOLINA MAZZEI'!#REF!</f>
        <v>#REF!</v>
      </c>
      <c r="O62" s="463" t="e">
        <f t="shared" si="9"/>
        <v>#REF!</v>
      </c>
      <c r="P62" s="462" t="e">
        <f>'AMA E ISOLINA MAZZEI'!#REF!</f>
        <v>#REF!</v>
      </c>
      <c r="Q62" s="457" t="e">
        <f t="shared" si="6"/>
        <v>#REF!</v>
      </c>
      <c r="R62" s="464" t="e">
        <f t="shared" si="7"/>
        <v>#REF!</v>
      </c>
      <c r="S62" s="466" t="e">
        <f t="shared" si="8"/>
        <v>#REF!</v>
      </c>
    </row>
    <row r="63" spans="1:19" x14ac:dyDescent="0.25">
      <c r="A63" t="s">
        <v>270</v>
      </c>
      <c r="B63" s="409" t="s">
        <v>123</v>
      </c>
      <c r="C63" s="460" t="e">
        <f>'AMA E ISOLINA MAZZEI'!#REF!</f>
        <v>#REF!</v>
      </c>
      <c r="D63" s="462" t="e">
        <f>'AMA E ISOLINA MAZZEI'!#REF!</f>
        <v>#REF!</v>
      </c>
      <c r="E63" s="461" t="e">
        <f t="shared" si="30"/>
        <v>#REF!</v>
      </c>
      <c r="F63" s="462" t="e">
        <f>'AMA E ISOLINA MAZZEI'!#REF!</f>
        <v>#REF!</v>
      </c>
      <c r="G63" s="463" t="e">
        <f t="shared" si="31"/>
        <v>#REF!</v>
      </c>
      <c r="H63" s="462" t="e">
        <f>'AMA E ISOLINA MAZZEI'!#REF!</f>
        <v>#REF!</v>
      </c>
      <c r="I63" s="457" t="e">
        <f t="shared" si="32"/>
        <v>#REF!</v>
      </c>
      <c r="J63" s="464" t="e">
        <f t="shared" si="4"/>
        <v>#REF!</v>
      </c>
      <c r="K63" s="465" t="e">
        <f t="shared" si="5"/>
        <v>#REF!</v>
      </c>
      <c r="L63" s="462" t="e">
        <f>'AMA E ISOLINA MAZZEI'!#REF!</f>
        <v>#REF!</v>
      </c>
      <c r="M63" s="463" t="e">
        <f t="shared" si="33"/>
        <v>#REF!</v>
      </c>
      <c r="N63" s="462" t="e">
        <f>'AMA E ISOLINA MAZZEI'!#REF!</f>
        <v>#REF!</v>
      </c>
      <c r="O63" s="463" t="e">
        <f t="shared" si="9"/>
        <v>#REF!</v>
      </c>
      <c r="P63" s="462" t="e">
        <f>'AMA E ISOLINA MAZZEI'!#REF!</f>
        <v>#REF!</v>
      </c>
      <c r="Q63" s="457" t="e">
        <f t="shared" si="6"/>
        <v>#REF!</v>
      </c>
      <c r="R63" s="464" t="e">
        <f t="shared" si="7"/>
        <v>#REF!</v>
      </c>
      <c r="S63" s="466" t="e">
        <f t="shared" si="8"/>
        <v>#REF!</v>
      </c>
    </row>
    <row r="64" spans="1:19" x14ac:dyDescent="0.25">
      <c r="A64" t="s">
        <v>270</v>
      </c>
      <c r="B64" s="409" t="s">
        <v>124</v>
      </c>
      <c r="C64" s="460" t="e">
        <f>'AMA E ISOLINA MAZZEI'!#REF!</f>
        <v>#REF!</v>
      </c>
      <c r="D64" s="462" t="e">
        <f>'AMA E ISOLINA MAZZEI'!#REF!</f>
        <v>#REF!</v>
      </c>
      <c r="E64" s="461" t="e">
        <f t="shared" si="30"/>
        <v>#REF!</v>
      </c>
      <c r="F64" s="462" t="e">
        <f>'AMA E ISOLINA MAZZEI'!#REF!</f>
        <v>#REF!</v>
      </c>
      <c r="G64" s="463" t="e">
        <f t="shared" si="31"/>
        <v>#REF!</v>
      </c>
      <c r="H64" s="462" t="e">
        <f>'AMA E ISOLINA MAZZEI'!#REF!</f>
        <v>#REF!</v>
      </c>
      <c r="I64" s="457" t="e">
        <f t="shared" si="32"/>
        <v>#REF!</v>
      </c>
      <c r="J64" s="464" t="e">
        <f t="shared" si="4"/>
        <v>#REF!</v>
      </c>
      <c r="K64" s="465" t="e">
        <f t="shared" si="5"/>
        <v>#REF!</v>
      </c>
      <c r="L64" s="462" t="e">
        <f>'AMA E ISOLINA MAZZEI'!#REF!</f>
        <v>#REF!</v>
      </c>
      <c r="M64" s="463" t="e">
        <f t="shared" si="33"/>
        <v>#REF!</v>
      </c>
      <c r="N64" s="462" t="e">
        <f>'AMA E ISOLINA MAZZEI'!#REF!</f>
        <v>#REF!</v>
      </c>
      <c r="O64" s="463" t="e">
        <f t="shared" si="9"/>
        <v>#REF!</v>
      </c>
      <c r="P64" s="462" t="e">
        <f>'AMA E ISOLINA MAZZEI'!#REF!</f>
        <v>#REF!</v>
      </c>
      <c r="Q64" s="457" t="e">
        <f t="shared" si="6"/>
        <v>#REF!</v>
      </c>
      <c r="R64" s="464" t="e">
        <f t="shared" si="7"/>
        <v>#REF!</v>
      </c>
      <c r="S64" s="466" t="e">
        <f t="shared" si="8"/>
        <v>#REF!</v>
      </c>
    </row>
    <row r="65" spans="1:19" x14ac:dyDescent="0.25">
      <c r="A65" t="s">
        <v>270</v>
      </c>
      <c r="B65" s="409" t="s">
        <v>125</v>
      </c>
      <c r="C65" s="460" t="e">
        <f>'AMA E ISOLINA MAZZEI'!#REF!</f>
        <v>#REF!</v>
      </c>
      <c r="D65" s="462" t="e">
        <f>'AMA E ISOLINA MAZZEI'!#REF!</f>
        <v>#REF!</v>
      </c>
      <c r="E65" s="461" t="e">
        <f t="shared" si="30"/>
        <v>#REF!</v>
      </c>
      <c r="F65" s="462" t="e">
        <f>'AMA E ISOLINA MAZZEI'!#REF!</f>
        <v>#REF!</v>
      </c>
      <c r="G65" s="463" t="e">
        <f t="shared" si="31"/>
        <v>#REF!</v>
      </c>
      <c r="H65" s="462" t="e">
        <f>'AMA E ISOLINA MAZZEI'!#REF!</f>
        <v>#REF!</v>
      </c>
      <c r="I65" s="457" t="e">
        <f t="shared" si="32"/>
        <v>#REF!</v>
      </c>
      <c r="J65" s="464" t="e">
        <f t="shared" si="4"/>
        <v>#REF!</v>
      </c>
      <c r="K65" s="465" t="e">
        <f t="shared" ref="K65:K117" si="34">J65-(3*$C65)</f>
        <v>#REF!</v>
      </c>
      <c r="L65" s="462" t="e">
        <f>'AMA E ISOLINA MAZZEI'!#REF!</f>
        <v>#REF!</v>
      </c>
      <c r="M65" s="463" t="e">
        <f t="shared" si="33"/>
        <v>#REF!</v>
      </c>
      <c r="N65" s="462" t="e">
        <f>'AMA E ISOLINA MAZZEI'!#REF!</f>
        <v>#REF!</v>
      </c>
      <c r="O65" s="463" t="e">
        <f t="shared" si="9"/>
        <v>#REF!</v>
      </c>
      <c r="P65" s="462" t="e">
        <f>'AMA E ISOLINA MAZZEI'!#REF!</f>
        <v>#REF!</v>
      </c>
      <c r="Q65" s="457" t="e">
        <f t="shared" si="6"/>
        <v>#REF!</v>
      </c>
      <c r="R65" s="464" t="e">
        <f t="shared" si="7"/>
        <v>#REF!</v>
      </c>
      <c r="S65" s="466" t="e">
        <f t="shared" ref="S65:S117" si="35">R65-(3*$C65)</f>
        <v>#REF!</v>
      </c>
    </row>
    <row r="66" spans="1:19" x14ac:dyDescent="0.25">
      <c r="A66" t="s">
        <v>270</v>
      </c>
      <c r="B66" s="409" t="s">
        <v>126</v>
      </c>
      <c r="C66" s="460" t="e">
        <f>'AMA E ISOLINA MAZZEI'!#REF!</f>
        <v>#REF!</v>
      </c>
      <c r="D66" s="462" t="e">
        <f>'AMA E ISOLINA MAZZEI'!#REF!</f>
        <v>#REF!</v>
      </c>
      <c r="E66" s="461" t="e">
        <f t="shared" si="30"/>
        <v>#REF!</v>
      </c>
      <c r="F66" s="462" t="e">
        <f>'AMA E ISOLINA MAZZEI'!#REF!</f>
        <v>#REF!</v>
      </c>
      <c r="G66" s="463" t="e">
        <f t="shared" si="31"/>
        <v>#REF!</v>
      </c>
      <c r="H66" s="462" t="e">
        <f>'AMA E ISOLINA MAZZEI'!#REF!</f>
        <v>#REF!</v>
      </c>
      <c r="I66" s="457" t="e">
        <f t="shared" si="32"/>
        <v>#REF!</v>
      </c>
      <c r="J66" s="464" t="e">
        <f t="shared" si="4"/>
        <v>#REF!</v>
      </c>
      <c r="K66" s="465" t="e">
        <f t="shared" si="34"/>
        <v>#REF!</v>
      </c>
      <c r="L66" s="462" t="e">
        <f>'AMA E ISOLINA MAZZEI'!#REF!</f>
        <v>#REF!</v>
      </c>
      <c r="M66" s="463" t="e">
        <f t="shared" si="33"/>
        <v>#REF!</v>
      </c>
      <c r="N66" s="462" t="e">
        <f>'AMA E ISOLINA MAZZEI'!#REF!</f>
        <v>#REF!</v>
      </c>
      <c r="O66" s="463" t="e">
        <f t="shared" si="9"/>
        <v>#REF!</v>
      </c>
      <c r="P66" s="462" t="e">
        <f>'AMA E ISOLINA MAZZEI'!#REF!</f>
        <v>#REF!</v>
      </c>
      <c r="Q66" s="457" t="e">
        <f t="shared" si="6"/>
        <v>#REF!</v>
      </c>
      <c r="R66" s="464" t="e">
        <f t="shared" si="7"/>
        <v>#REF!</v>
      </c>
      <c r="S66" s="466" t="e">
        <f t="shared" si="35"/>
        <v>#REF!</v>
      </c>
    </row>
    <row r="67" spans="1:19" x14ac:dyDescent="0.25">
      <c r="A67" t="s">
        <v>270</v>
      </c>
      <c r="B67" s="409" t="s">
        <v>127</v>
      </c>
      <c r="C67" s="460" t="e">
        <f>'AMA E ISOLINA MAZZEI'!#REF!</f>
        <v>#REF!</v>
      </c>
      <c r="D67" s="462" t="e">
        <f>'AMA E ISOLINA MAZZEI'!#REF!</f>
        <v>#REF!</v>
      </c>
      <c r="E67" s="461" t="e">
        <f t="shared" si="30"/>
        <v>#REF!</v>
      </c>
      <c r="F67" s="462" t="e">
        <f>'AMA E ISOLINA MAZZEI'!#REF!</f>
        <v>#REF!</v>
      </c>
      <c r="G67" s="463" t="e">
        <f t="shared" si="31"/>
        <v>#REF!</v>
      </c>
      <c r="H67" s="462" t="e">
        <f>'AMA E ISOLINA MAZZEI'!#REF!</f>
        <v>#REF!</v>
      </c>
      <c r="I67" s="457" t="e">
        <f t="shared" si="32"/>
        <v>#REF!</v>
      </c>
      <c r="J67" s="464" t="e">
        <f t="shared" si="4"/>
        <v>#REF!</v>
      </c>
      <c r="K67" s="465" t="e">
        <f t="shared" si="34"/>
        <v>#REF!</v>
      </c>
      <c r="L67" s="462" t="e">
        <f>'AMA E ISOLINA MAZZEI'!#REF!</f>
        <v>#REF!</v>
      </c>
      <c r="M67" s="463" t="e">
        <f t="shared" si="33"/>
        <v>#REF!</v>
      </c>
      <c r="N67" s="462" t="e">
        <f>'AMA E ISOLINA MAZZEI'!#REF!</f>
        <v>#REF!</v>
      </c>
      <c r="O67" s="463" t="e">
        <f t="shared" si="9"/>
        <v>#REF!</v>
      </c>
      <c r="P67" s="462" t="e">
        <f>'AMA E ISOLINA MAZZEI'!#REF!</f>
        <v>#REF!</v>
      </c>
      <c r="Q67" s="457" t="e">
        <f t="shared" si="6"/>
        <v>#REF!</v>
      </c>
      <c r="R67" s="464" t="e">
        <f t="shared" ref="R67:R117" si="36">P67+L67+N67</f>
        <v>#REF!</v>
      </c>
      <c r="S67" s="466" t="e">
        <f t="shared" si="35"/>
        <v>#REF!</v>
      </c>
    </row>
    <row r="68" spans="1:19" x14ac:dyDescent="0.25">
      <c r="A68" t="s">
        <v>270</v>
      </c>
      <c r="B68" s="409" t="s">
        <v>128</v>
      </c>
      <c r="C68" s="460" t="e">
        <f>'AMA E ISOLINA MAZZEI'!#REF!</f>
        <v>#REF!</v>
      </c>
      <c r="D68" s="462" t="e">
        <f>'AMA E ISOLINA MAZZEI'!#REF!</f>
        <v>#REF!</v>
      </c>
      <c r="E68" s="461" t="e">
        <f t="shared" si="30"/>
        <v>#REF!</v>
      </c>
      <c r="F68" s="462" t="e">
        <f>'AMA E ISOLINA MAZZEI'!#REF!</f>
        <v>#REF!</v>
      </c>
      <c r="G68" s="463" t="e">
        <f t="shared" si="31"/>
        <v>#REF!</v>
      </c>
      <c r="H68" s="462" t="e">
        <f>'AMA E ISOLINA MAZZEI'!#REF!</f>
        <v>#REF!</v>
      </c>
      <c r="I68" s="457" t="e">
        <f t="shared" si="32"/>
        <v>#REF!</v>
      </c>
      <c r="J68" s="464" t="e">
        <f t="shared" si="4"/>
        <v>#REF!</v>
      </c>
      <c r="K68" s="465" t="e">
        <f t="shared" si="34"/>
        <v>#REF!</v>
      </c>
      <c r="L68" s="462" t="e">
        <f>'AMA E ISOLINA MAZZEI'!#REF!</f>
        <v>#REF!</v>
      </c>
      <c r="M68" s="463" t="e">
        <f t="shared" si="33"/>
        <v>#REF!</v>
      </c>
      <c r="N68" s="462" t="e">
        <f>'AMA E ISOLINA MAZZEI'!#REF!</f>
        <v>#REF!</v>
      </c>
      <c r="O68" s="463" t="e">
        <f t="shared" si="9"/>
        <v>#REF!</v>
      </c>
      <c r="P68" s="462" t="e">
        <f>'AMA E ISOLINA MAZZEI'!#REF!</f>
        <v>#REF!</v>
      </c>
      <c r="Q68" s="457" t="e">
        <f t="shared" si="6"/>
        <v>#REF!</v>
      </c>
      <c r="R68" s="464" t="e">
        <f t="shared" si="36"/>
        <v>#REF!</v>
      </c>
      <c r="S68" s="466" t="e">
        <f t="shared" si="35"/>
        <v>#REF!</v>
      </c>
    </row>
    <row r="69" spans="1:19" x14ac:dyDescent="0.25">
      <c r="A69" t="s">
        <v>270</v>
      </c>
      <c r="B69" s="409" t="s">
        <v>129</v>
      </c>
      <c r="C69" s="460" t="e">
        <f>'AMA E ISOLINA MAZZEI'!#REF!</f>
        <v>#REF!</v>
      </c>
      <c r="D69" s="462" t="e">
        <f>'AMA E ISOLINA MAZZEI'!#REF!</f>
        <v>#REF!</v>
      </c>
      <c r="E69" s="461" t="e">
        <f t="shared" si="30"/>
        <v>#REF!</v>
      </c>
      <c r="F69" s="462" t="e">
        <f>'AMA E ISOLINA MAZZEI'!#REF!</f>
        <v>#REF!</v>
      </c>
      <c r="G69" s="463" t="e">
        <f t="shared" si="31"/>
        <v>#REF!</v>
      </c>
      <c r="H69" s="462" t="e">
        <f>'AMA E ISOLINA MAZZEI'!#REF!</f>
        <v>#REF!</v>
      </c>
      <c r="I69" s="457" t="e">
        <f t="shared" si="32"/>
        <v>#REF!</v>
      </c>
      <c r="J69" s="464" t="e">
        <f t="shared" ref="J69:J108" si="37">D69+F69+H69</f>
        <v>#REF!</v>
      </c>
      <c r="K69" s="465" t="e">
        <f t="shared" si="34"/>
        <v>#REF!</v>
      </c>
      <c r="L69" s="462" t="e">
        <f>'AMA E ISOLINA MAZZEI'!#REF!</f>
        <v>#REF!</v>
      </c>
      <c r="M69" s="463" t="e">
        <f t="shared" si="33"/>
        <v>#REF!</v>
      </c>
      <c r="N69" s="462" t="e">
        <f>'AMA E ISOLINA MAZZEI'!#REF!</f>
        <v>#REF!</v>
      </c>
      <c r="O69" s="463" t="e">
        <f t="shared" si="9"/>
        <v>#REF!</v>
      </c>
      <c r="P69" s="462" t="e">
        <f>'AMA E ISOLINA MAZZEI'!#REF!</f>
        <v>#REF!</v>
      </c>
      <c r="Q69" s="457" t="e">
        <f t="shared" ref="Q69:Q117" si="38">P69-$C69</f>
        <v>#REF!</v>
      </c>
      <c r="R69" s="464" t="e">
        <f t="shared" si="36"/>
        <v>#REF!</v>
      </c>
      <c r="S69" s="466" t="e">
        <f t="shared" si="35"/>
        <v>#REF!</v>
      </c>
    </row>
    <row r="70" spans="1:19" x14ac:dyDescent="0.25">
      <c r="A70" t="s">
        <v>270</v>
      </c>
      <c r="B70" s="409" t="s">
        <v>130</v>
      </c>
      <c r="C70" s="460" t="e">
        <f>'AMA E ISOLINA MAZZEI'!#REF!</f>
        <v>#REF!</v>
      </c>
      <c r="D70" s="462" t="e">
        <f>'AMA E ISOLINA MAZZEI'!#REF!</f>
        <v>#REF!</v>
      </c>
      <c r="E70" s="461" t="e">
        <f t="shared" si="30"/>
        <v>#REF!</v>
      </c>
      <c r="F70" s="462" t="e">
        <f>'AMA E ISOLINA MAZZEI'!#REF!</f>
        <v>#REF!</v>
      </c>
      <c r="G70" s="463" t="e">
        <f t="shared" si="31"/>
        <v>#REF!</v>
      </c>
      <c r="H70" s="462" t="e">
        <f>'AMA E ISOLINA MAZZEI'!#REF!</f>
        <v>#REF!</v>
      </c>
      <c r="I70" s="457" t="e">
        <f t="shared" si="32"/>
        <v>#REF!</v>
      </c>
      <c r="J70" s="464" t="e">
        <f t="shared" si="37"/>
        <v>#REF!</v>
      </c>
      <c r="K70" s="465" t="e">
        <f t="shared" si="34"/>
        <v>#REF!</v>
      </c>
      <c r="L70" s="462" t="e">
        <f>'AMA E ISOLINA MAZZEI'!#REF!</f>
        <v>#REF!</v>
      </c>
      <c r="M70" s="463" t="e">
        <f t="shared" si="33"/>
        <v>#REF!</v>
      </c>
      <c r="N70" s="462" t="e">
        <f>'AMA E ISOLINA MAZZEI'!#REF!</f>
        <v>#REF!</v>
      </c>
      <c r="O70" s="463" t="e">
        <f t="shared" ref="O70:O117" si="39">N70-$C70</f>
        <v>#REF!</v>
      </c>
      <c r="P70" s="462" t="e">
        <f>'AMA E ISOLINA MAZZEI'!#REF!</f>
        <v>#REF!</v>
      </c>
      <c r="Q70" s="457" t="e">
        <f t="shared" si="38"/>
        <v>#REF!</v>
      </c>
      <c r="R70" s="464" t="e">
        <f t="shared" si="36"/>
        <v>#REF!</v>
      </c>
      <c r="S70" s="466" t="e">
        <f t="shared" si="35"/>
        <v>#REF!</v>
      </c>
    </row>
    <row r="71" spans="1:19" ht="15.75" thickBot="1" x14ac:dyDescent="0.3">
      <c r="A71" t="s">
        <v>270</v>
      </c>
      <c r="B71" s="410" t="s">
        <v>131</v>
      </c>
      <c r="C71" s="467" t="e">
        <f>'AMA E ISOLINA MAZZEI'!#REF!</f>
        <v>#REF!</v>
      </c>
      <c r="D71" s="469" t="e">
        <f>'AMA E ISOLINA MAZZEI'!#REF!</f>
        <v>#REF!</v>
      </c>
      <c r="E71" s="468" t="e">
        <f t="shared" si="30"/>
        <v>#REF!</v>
      </c>
      <c r="F71" s="469" t="e">
        <f>'AMA E ISOLINA MAZZEI'!#REF!</f>
        <v>#REF!</v>
      </c>
      <c r="G71" s="470" t="e">
        <f t="shared" si="31"/>
        <v>#REF!</v>
      </c>
      <c r="H71" s="469" t="e">
        <f>'AMA E ISOLINA MAZZEI'!#REF!</f>
        <v>#REF!</v>
      </c>
      <c r="I71" s="470" t="e">
        <f t="shared" si="32"/>
        <v>#REF!</v>
      </c>
      <c r="J71" s="471" t="e">
        <f t="shared" si="37"/>
        <v>#REF!</v>
      </c>
      <c r="K71" s="472" t="e">
        <f t="shared" si="34"/>
        <v>#REF!</v>
      </c>
      <c r="L71" s="469" t="e">
        <f>'AMA E ISOLINA MAZZEI'!#REF!</f>
        <v>#REF!</v>
      </c>
      <c r="M71" s="470" t="e">
        <f t="shared" si="33"/>
        <v>#REF!</v>
      </c>
      <c r="N71" s="469" t="e">
        <f>'AMA E ISOLINA MAZZEI'!#REF!</f>
        <v>#REF!</v>
      </c>
      <c r="O71" s="470" t="e">
        <f t="shared" si="39"/>
        <v>#REF!</v>
      </c>
      <c r="P71" s="469" t="e">
        <f>'AMA E ISOLINA MAZZEI'!#REF!</f>
        <v>#REF!</v>
      </c>
      <c r="Q71" s="470" t="e">
        <f t="shared" si="38"/>
        <v>#REF!</v>
      </c>
      <c r="R71" s="471" t="e">
        <f t="shared" si="36"/>
        <v>#REF!</v>
      </c>
      <c r="S71" s="473" t="e">
        <f t="shared" si="35"/>
        <v>#REF!</v>
      </c>
    </row>
    <row r="72" spans="1:19" ht="15.75" thickBot="1" x14ac:dyDescent="0.3">
      <c r="B72" s="51" t="s">
        <v>288</v>
      </c>
      <c r="C72" s="483" t="e">
        <f>'AMA E ISOLINA MAZZEI'!#REF!</f>
        <v>#REF!</v>
      </c>
      <c r="D72" s="485" t="e">
        <f>'AMA E ISOLINA MAZZEI'!#REF!</f>
        <v>#REF!</v>
      </c>
      <c r="E72" s="484" t="e">
        <f t="shared" si="30"/>
        <v>#REF!</v>
      </c>
      <c r="F72" s="485" t="e">
        <f>'AMA E ISOLINA MAZZEI'!#REF!</f>
        <v>#REF!</v>
      </c>
      <c r="G72" s="481" t="e">
        <f t="shared" si="31"/>
        <v>#REF!</v>
      </c>
      <c r="H72" s="485" t="e">
        <f>'AMA E ISOLINA MAZZEI'!#REF!</f>
        <v>#REF!</v>
      </c>
      <c r="I72" s="481" t="e">
        <f t="shared" si="32"/>
        <v>#REF!</v>
      </c>
      <c r="J72" s="486" t="e">
        <f t="shared" si="37"/>
        <v>#REF!</v>
      </c>
      <c r="K72" s="487" t="e">
        <f t="shared" si="34"/>
        <v>#REF!</v>
      </c>
      <c r="L72" s="485" t="e">
        <f>'AMA E ISOLINA MAZZEI'!#REF!</f>
        <v>#REF!</v>
      </c>
      <c r="M72" s="481" t="e">
        <f t="shared" si="33"/>
        <v>#REF!</v>
      </c>
      <c r="N72" s="485" t="e">
        <f>'AMA E ISOLINA MAZZEI'!#REF!</f>
        <v>#REF!</v>
      </c>
      <c r="O72" s="481" t="e">
        <f t="shared" si="39"/>
        <v>#REF!</v>
      </c>
      <c r="P72" s="485" t="e">
        <f>'AMA E ISOLINA MAZZEI'!#REF!</f>
        <v>#REF!</v>
      </c>
      <c r="Q72" s="481" t="e">
        <f t="shared" si="38"/>
        <v>#REF!</v>
      </c>
      <c r="R72" s="486" t="e">
        <f t="shared" si="36"/>
        <v>#REF!</v>
      </c>
      <c r="S72" s="488" t="e">
        <f t="shared" si="35"/>
        <v>#REF!</v>
      </c>
    </row>
    <row r="73" spans="1:19" ht="15.75" thickTop="1" x14ac:dyDescent="0.25">
      <c r="A73" t="s">
        <v>275</v>
      </c>
      <c r="B73" s="52" t="s">
        <v>95</v>
      </c>
      <c r="C73" s="451" t="e">
        <f>'URSI CARANDIRU'!#REF!</f>
        <v>#REF!</v>
      </c>
      <c r="D73" s="458" t="e">
        <f>'URSI CARANDIRU'!#REF!</f>
        <v>#REF!</v>
      </c>
      <c r="E73" s="482" t="e">
        <f t="shared" si="30"/>
        <v>#REF!</v>
      </c>
      <c r="F73" s="458" t="e">
        <f>'URSI CARANDIRU'!#REF!</f>
        <v>#REF!</v>
      </c>
      <c r="G73" s="457" t="e">
        <f t="shared" si="31"/>
        <v>#REF!</v>
      </c>
      <c r="H73" s="458" t="e">
        <f>'URSI CARANDIRU'!#REF!</f>
        <v>#REF!</v>
      </c>
      <c r="I73" s="457" t="e">
        <f t="shared" si="32"/>
        <v>#REF!</v>
      </c>
      <c r="J73" s="455" t="e">
        <f t="shared" si="37"/>
        <v>#REF!</v>
      </c>
      <c r="K73" s="456" t="e">
        <f t="shared" si="34"/>
        <v>#REF!</v>
      </c>
      <c r="L73" s="458" t="e">
        <f>'URSI CARANDIRU'!#REF!</f>
        <v>#REF!</v>
      </c>
      <c r="M73" s="457" t="e">
        <f t="shared" si="33"/>
        <v>#REF!</v>
      </c>
      <c r="N73" s="458" t="e">
        <f>'URSI CARANDIRU'!#REF!</f>
        <v>#REF!</v>
      </c>
      <c r="O73" s="457" t="e">
        <f t="shared" si="39"/>
        <v>#REF!</v>
      </c>
      <c r="P73" s="458" t="e">
        <f>'URSI CARANDIRU'!#REF!</f>
        <v>#REF!</v>
      </c>
      <c r="Q73" s="457" t="e">
        <f t="shared" si="38"/>
        <v>#REF!</v>
      </c>
      <c r="R73" s="455" t="e">
        <f t="shared" si="36"/>
        <v>#REF!</v>
      </c>
      <c r="S73" s="459" t="e">
        <f t="shared" si="35"/>
        <v>#REF!</v>
      </c>
    </row>
    <row r="74" spans="1:19" x14ac:dyDescent="0.25">
      <c r="A74" t="s">
        <v>275</v>
      </c>
      <c r="B74" s="409" t="s">
        <v>96</v>
      </c>
      <c r="C74" s="460" t="e">
        <f>'URSI CARANDIRU'!#REF!</f>
        <v>#REF!</v>
      </c>
      <c r="D74" s="462" t="e">
        <f>'URSI CARANDIRU'!#REF!</f>
        <v>#REF!</v>
      </c>
      <c r="E74" s="461" t="e">
        <f t="shared" si="30"/>
        <v>#REF!</v>
      </c>
      <c r="F74" s="462" t="e">
        <f>'URSI CARANDIRU'!#REF!</f>
        <v>#REF!</v>
      </c>
      <c r="G74" s="463" t="e">
        <f t="shared" si="31"/>
        <v>#REF!</v>
      </c>
      <c r="H74" s="462" t="e">
        <f>'URSI CARANDIRU'!#REF!</f>
        <v>#REF!</v>
      </c>
      <c r="I74" s="457" t="e">
        <f t="shared" si="32"/>
        <v>#REF!</v>
      </c>
      <c r="J74" s="464" t="e">
        <f t="shared" si="37"/>
        <v>#REF!</v>
      </c>
      <c r="K74" s="465" t="e">
        <f t="shared" si="34"/>
        <v>#REF!</v>
      </c>
      <c r="L74" s="462" t="e">
        <f>'URSI CARANDIRU'!#REF!</f>
        <v>#REF!</v>
      </c>
      <c r="M74" s="463" t="e">
        <f t="shared" si="33"/>
        <v>#REF!</v>
      </c>
      <c r="N74" s="462" t="e">
        <f>'URSI CARANDIRU'!#REF!</f>
        <v>#REF!</v>
      </c>
      <c r="O74" s="463" t="e">
        <f t="shared" si="39"/>
        <v>#REF!</v>
      </c>
      <c r="P74" s="462" t="e">
        <f>'URSI CARANDIRU'!#REF!</f>
        <v>#REF!</v>
      </c>
      <c r="Q74" s="457" t="e">
        <f t="shared" si="38"/>
        <v>#REF!</v>
      </c>
      <c r="R74" s="464" t="e">
        <f t="shared" si="36"/>
        <v>#REF!</v>
      </c>
      <c r="S74" s="466" t="e">
        <f t="shared" si="35"/>
        <v>#REF!</v>
      </c>
    </row>
    <row r="75" spans="1:19" x14ac:dyDescent="0.25">
      <c r="A75" t="s">
        <v>275</v>
      </c>
      <c r="B75" s="409" t="s">
        <v>97</v>
      </c>
      <c r="C75" s="460" t="e">
        <f>'URSI CARANDIRU'!#REF!</f>
        <v>#REF!</v>
      </c>
      <c r="D75" s="462" t="e">
        <f>'URSI CARANDIRU'!#REF!</f>
        <v>#REF!</v>
      </c>
      <c r="E75" s="461" t="e">
        <f t="shared" si="30"/>
        <v>#REF!</v>
      </c>
      <c r="F75" s="462" t="e">
        <f>'URSI CARANDIRU'!#REF!</f>
        <v>#REF!</v>
      </c>
      <c r="G75" s="463" t="e">
        <f t="shared" si="31"/>
        <v>#REF!</v>
      </c>
      <c r="H75" s="462" t="e">
        <f>'URSI CARANDIRU'!#REF!</f>
        <v>#REF!</v>
      </c>
      <c r="I75" s="457" t="e">
        <f t="shared" si="32"/>
        <v>#REF!</v>
      </c>
      <c r="J75" s="464" t="e">
        <f t="shared" si="37"/>
        <v>#REF!</v>
      </c>
      <c r="K75" s="465" t="e">
        <f t="shared" si="34"/>
        <v>#REF!</v>
      </c>
      <c r="L75" s="462" t="e">
        <f>'URSI CARANDIRU'!#REF!</f>
        <v>#REF!</v>
      </c>
      <c r="M75" s="463" t="e">
        <f t="shared" si="33"/>
        <v>#REF!</v>
      </c>
      <c r="N75" s="462" t="e">
        <f>'URSI CARANDIRU'!#REF!</f>
        <v>#REF!</v>
      </c>
      <c r="O75" s="463" t="e">
        <f t="shared" si="39"/>
        <v>#REF!</v>
      </c>
      <c r="P75" s="462" t="e">
        <f>'URSI CARANDIRU'!#REF!</f>
        <v>#REF!</v>
      </c>
      <c r="Q75" s="457" t="e">
        <f t="shared" si="38"/>
        <v>#REF!</v>
      </c>
      <c r="R75" s="464" t="e">
        <f t="shared" si="36"/>
        <v>#REF!</v>
      </c>
      <c r="S75" s="466" t="e">
        <f t="shared" si="35"/>
        <v>#REF!</v>
      </c>
    </row>
    <row r="76" spans="1:19" x14ac:dyDescent="0.25">
      <c r="A76" t="s">
        <v>275</v>
      </c>
      <c r="B76" s="409" t="s">
        <v>98</v>
      </c>
      <c r="C76" s="460" t="e">
        <f>'URSI CARANDIRU'!#REF!</f>
        <v>#REF!</v>
      </c>
      <c r="D76" s="462" t="e">
        <f>'URSI CARANDIRU'!#REF!</f>
        <v>#REF!</v>
      </c>
      <c r="E76" s="461" t="e">
        <f t="shared" si="30"/>
        <v>#REF!</v>
      </c>
      <c r="F76" s="462" t="e">
        <f>'URSI CARANDIRU'!#REF!</f>
        <v>#REF!</v>
      </c>
      <c r="G76" s="463" t="e">
        <f t="shared" si="31"/>
        <v>#REF!</v>
      </c>
      <c r="H76" s="462" t="e">
        <f>'URSI CARANDIRU'!#REF!</f>
        <v>#REF!</v>
      </c>
      <c r="I76" s="457" t="e">
        <f t="shared" si="32"/>
        <v>#REF!</v>
      </c>
      <c r="J76" s="464" t="e">
        <f t="shared" si="37"/>
        <v>#REF!</v>
      </c>
      <c r="K76" s="465" t="e">
        <f t="shared" si="34"/>
        <v>#REF!</v>
      </c>
      <c r="L76" s="462" t="e">
        <f>'URSI CARANDIRU'!#REF!</f>
        <v>#REF!</v>
      </c>
      <c r="M76" s="463" t="e">
        <f t="shared" si="33"/>
        <v>#REF!</v>
      </c>
      <c r="N76" s="462" t="e">
        <f>'URSI CARANDIRU'!#REF!</f>
        <v>#REF!</v>
      </c>
      <c r="O76" s="463" t="e">
        <f t="shared" si="39"/>
        <v>#REF!</v>
      </c>
      <c r="P76" s="462" t="e">
        <f>'URSI CARANDIRU'!#REF!</f>
        <v>#REF!</v>
      </c>
      <c r="Q76" s="457" t="e">
        <f t="shared" si="38"/>
        <v>#REF!</v>
      </c>
      <c r="R76" s="464" t="e">
        <f t="shared" si="36"/>
        <v>#REF!</v>
      </c>
      <c r="S76" s="466" t="e">
        <f t="shared" si="35"/>
        <v>#REF!</v>
      </c>
    </row>
    <row r="77" spans="1:19" x14ac:dyDescent="0.25">
      <c r="A77" t="s">
        <v>275</v>
      </c>
      <c r="B77" s="409" t="s">
        <v>99</v>
      </c>
      <c r="C77" s="460" t="e">
        <f>'URSI CARANDIRU'!#REF!</f>
        <v>#REF!</v>
      </c>
      <c r="D77" s="462" t="e">
        <f>'URSI CARANDIRU'!#REF!</f>
        <v>#REF!</v>
      </c>
      <c r="E77" s="461" t="e">
        <f t="shared" si="30"/>
        <v>#REF!</v>
      </c>
      <c r="F77" s="462" t="e">
        <f>'URSI CARANDIRU'!#REF!</f>
        <v>#REF!</v>
      </c>
      <c r="G77" s="463" t="e">
        <f t="shared" si="31"/>
        <v>#REF!</v>
      </c>
      <c r="H77" s="462" t="e">
        <f>'URSI CARANDIRU'!#REF!</f>
        <v>#REF!</v>
      </c>
      <c r="I77" s="457" t="e">
        <f t="shared" si="32"/>
        <v>#REF!</v>
      </c>
      <c r="J77" s="464" t="e">
        <f t="shared" si="37"/>
        <v>#REF!</v>
      </c>
      <c r="K77" s="465" t="e">
        <f t="shared" si="34"/>
        <v>#REF!</v>
      </c>
      <c r="L77" s="462" t="e">
        <f>'URSI CARANDIRU'!#REF!</f>
        <v>#REF!</v>
      </c>
      <c r="M77" s="463" t="e">
        <f t="shared" si="33"/>
        <v>#REF!</v>
      </c>
      <c r="N77" s="462" t="e">
        <f>'URSI CARANDIRU'!#REF!</f>
        <v>#REF!</v>
      </c>
      <c r="O77" s="463" t="e">
        <f t="shared" si="39"/>
        <v>#REF!</v>
      </c>
      <c r="P77" s="462" t="e">
        <f>'URSI CARANDIRU'!#REF!</f>
        <v>#REF!</v>
      </c>
      <c r="Q77" s="457" t="e">
        <f t="shared" si="38"/>
        <v>#REF!</v>
      </c>
      <c r="R77" s="464" t="e">
        <f t="shared" si="36"/>
        <v>#REF!</v>
      </c>
      <c r="S77" s="466" t="e">
        <f t="shared" si="35"/>
        <v>#REF!</v>
      </c>
    </row>
    <row r="78" spans="1:19" x14ac:dyDescent="0.25">
      <c r="A78" t="s">
        <v>275</v>
      </c>
      <c r="B78" s="409" t="s">
        <v>100</v>
      </c>
      <c r="C78" s="460" t="e">
        <f>'URSI CARANDIRU'!#REF!</f>
        <v>#REF!</v>
      </c>
      <c r="D78" s="462" t="e">
        <f>'URSI CARANDIRU'!#REF!</f>
        <v>#REF!</v>
      </c>
      <c r="E78" s="461" t="e">
        <f t="shared" si="30"/>
        <v>#REF!</v>
      </c>
      <c r="F78" s="462" t="e">
        <f>'URSI CARANDIRU'!#REF!</f>
        <v>#REF!</v>
      </c>
      <c r="G78" s="463" t="e">
        <f t="shared" si="31"/>
        <v>#REF!</v>
      </c>
      <c r="H78" s="462" t="e">
        <f>'URSI CARANDIRU'!#REF!</f>
        <v>#REF!</v>
      </c>
      <c r="I78" s="457" t="e">
        <f t="shared" si="32"/>
        <v>#REF!</v>
      </c>
      <c r="J78" s="464" t="e">
        <f t="shared" si="37"/>
        <v>#REF!</v>
      </c>
      <c r="K78" s="465" t="e">
        <f t="shared" si="34"/>
        <v>#REF!</v>
      </c>
      <c r="L78" s="462" t="e">
        <f>'URSI CARANDIRU'!#REF!</f>
        <v>#REF!</v>
      </c>
      <c r="M78" s="463" t="e">
        <f t="shared" si="33"/>
        <v>#REF!</v>
      </c>
      <c r="N78" s="462" t="e">
        <f>'URSI CARANDIRU'!#REF!</f>
        <v>#REF!</v>
      </c>
      <c r="O78" s="463" t="e">
        <f t="shared" si="39"/>
        <v>#REF!</v>
      </c>
      <c r="P78" s="462" t="e">
        <f>'URSI CARANDIRU'!#REF!</f>
        <v>#REF!</v>
      </c>
      <c r="Q78" s="457" t="e">
        <f t="shared" si="38"/>
        <v>#REF!</v>
      </c>
      <c r="R78" s="464" t="e">
        <f t="shared" si="36"/>
        <v>#REF!</v>
      </c>
      <c r="S78" s="466" t="e">
        <f t="shared" si="35"/>
        <v>#REF!</v>
      </c>
    </row>
    <row r="79" spans="1:19" ht="15.75" thickBot="1" x14ac:dyDescent="0.3">
      <c r="A79" t="s">
        <v>275</v>
      </c>
      <c r="B79" s="410" t="s">
        <v>101</v>
      </c>
      <c r="C79" s="467" t="e">
        <f>'URSI CARANDIRU'!#REF!</f>
        <v>#REF!</v>
      </c>
      <c r="D79" s="469" t="e">
        <f>'URSI CARANDIRU'!#REF!</f>
        <v>#REF!</v>
      </c>
      <c r="E79" s="468" t="e">
        <f t="shared" si="30"/>
        <v>#REF!</v>
      </c>
      <c r="F79" s="469" t="e">
        <f>'URSI CARANDIRU'!#REF!</f>
        <v>#REF!</v>
      </c>
      <c r="G79" s="470" t="e">
        <f t="shared" si="31"/>
        <v>#REF!</v>
      </c>
      <c r="H79" s="469" t="e">
        <f>'URSI CARANDIRU'!#REF!</f>
        <v>#REF!</v>
      </c>
      <c r="I79" s="470" t="e">
        <f t="shared" si="32"/>
        <v>#REF!</v>
      </c>
      <c r="J79" s="471" t="e">
        <f t="shared" si="37"/>
        <v>#REF!</v>
      </c>
      <c r="K79" s="472" t="e">
        <f t="shared" si="34"/>
        <v>#REF!</v>
      </c>
      <c r="L79" s="469" t="e">
        <f>'URSI CARANDIRU'!#REF!</f>
        <v>#REF!</v>
      </c>
      <c r="M79" s="470" t="e">
        <f t="shared" si="33"/>
        <v>#REF!</v>
      </c>
      <c r="N79" s="469" t="e">
        <f>'URSI CARANDIRU'!#REF!</f>
        <v>#REF!</v>
      </c>
      <c r="O79" s="470" t="e">
        <f t="shared" si="39"/>
        <v>#REF!</v>
      </c>
      <c r="P79" s="469" t="e">
        <f>'URSI CARANDIRU'!#REF!</f>
        <v>#REF!</v>
      </c>
      <c r="Q79" s="470" t="e">
        <f t="shared" si="38"/>
        <v>#REF!</v>
      </c>
      <c r="R79" s="471" t="e">
        <f t="shared" si="36"/>
        <v>#REF!</v>
      </c>
      <c r="S79" s="473" t="e">
        <f t="shared" si="35"/>
        <v>#REF!</v>
      </c>
    </row>
    <row r="80" spans="1:19" ht="15.75" thickBot="1" x14ac:dyDescent="0.3">
      <c r="B80" s="51" t="s">
        <v>287</v>
      </c>
      <c r="C80" s="483" t="e">
        <f>'URSI CARANDIRU'!#REF!</f>
        <v>#REF!</v>
      </c>
      <c r="D80" s="485" t="e">
        <f>'URSI CARANDIRU'!#REF!</f>
        <v>#REF!</v>
      </c>
      <c r="E80" s="484" t="e">
        <f t="shared" si="30"/>
        <v>#REF!</v>
      </c>
      <c r="F80" s="485" t="e">
        <f>'URSI CARANDIRU'!#REF!</f>
        <v>#REF!</v>
      </c>
      <c r="G80" s="481" t="e">
        <f t="shared" si="31"/>
        <v>#REF!</v>
      </c>
      <c r="H80" s="485" t="e">
        <f>'URSI CARANDIRU'!#REF!</f>
        <v>#REF!</v>
      </c>
      <c r="I80" s="481" t="e">
        <f t="shared" si="32"/>
        <v>#REF!</v>
      </c>
      <c r="J80" s="486" t="e">
        <f t="shared" si="37"/>
        <v>#REF!</v>
      </c>
      <c r="K80" s="487" t="e">
        <f t="shared" si="34"/>
        <v>#REF!</v>
      </c>
      <c r="L80" s="485" t="e">
        <f>'URSI CARANDIRU'!#REF!</f>
        <v>#REF!</v>
      </c>
      <c r="M80" s="481" t="e">
        <f t="shared" si="33"/>
        <v>#REF!</v>
      </c>
      <c r="N80" s="485" t="e">
        <f>'URSI CARANDIRU'!#REF!</f>
        <v>#REF!</v>
      </c>
      <c r="O80" s="481" t="e">
        <f t="shared" si="39"/>
        <v>#REF!</v>
      </c>
      <c r="P80" s="485" t="e">
        <f>'URSI CARANDIRU'!#REF!</f>
        <v>#REF!</v>
      </c>
      <c r="Q80" s="481" t="e">
        <f t="shared" si="38"/>
        <v>#REF!</v>
      </c>
      <c r="R80" s="486" t="e">
        <f t="shared" si="36"/>
        <v>#REF!</v>
      </c>
      <c r="S80" s="488" t="e">
        <f t="shared" si="35"/>
        <v>#REF!</v>
      </c>
    </row>
    <row r="81" spans="1:19" ht="15.75" thickTop="1" x14ac:dyDescent="0.25">
      <c r="A81" t="s">
        <v>276</v>
      </c>
      <c r="B81" s="71" t="s">
        <v>103</v>
      </c>
      <c r="C81" s="451" t="e">
        <f>'CEO II V GUILHERME'!#REF!</f>
        <v>#REF!</v>
      </c>
      <c r="D81" s="458" t="e">
        <f>'CEO II V GUILHERME'!#REF!</f>
        <v>#REF!</v>
      </c>
      <c r="E81" s="482" t="e">
        <f t="shared" si="30"/>
        <v>#REF!</v>
      </c>
      <c r="F81" s="458" t="e">
        <f>'CEO II V GUILHERME'!#REF!</f>
        <v>#REF!</v>
      </c>
      <c r="G81" s="457" t="e">
        <f t="shared" si="31"/>
        <v>#REF!</v>
      </c>
      <c r="H81" s="458" t="e">
        <f>'CEO II V GUILHERME'!#REF!</f>
        <v>#REF!</v>
      </c>
      <c r="I81" s="457" t="e">
        <f t="shared" si="32"/>
        <v>#REF!</v>
      </c>
      <c r="J81" s="455" t="e">
        <f t="shared" si="37"/>
        <v>#REF!</v>
      </c>
      <c r="K81" s="456" t="e">
        <f t="shared" si="34"/>
        <v>#REF!</v>
      </c>
      <c r="L81" s="458" t="e">
        <f>'CEO II V GUILHERME'!#REF!</f>
        <v>#REF!</v>
      </c>
      <c r="M81" s="457" t="e">
        <f t="shared" si="33"/>
        <v>#REF!</v>
      </c>
      <c r="N81" s="458" t="e">
        <f>'CEO II V GUILHERME'!#REF!</f>
        <v>#REF!</v>
      </c>
      <c r="O81" s="457" t="e">
        <f t="shared" si="39"/>
        <v>#REF!</v>
      </c>
      <c r="P81" s="458" t="e">
        <f>'CEO II V GUILHERME'!#REF!</f>
        <v>#REF!</v>
      </c>
      <c r="Q81" s="457" t="e">
        <f t="shared" si="38"/>
        <v>#REF!</v>
      </c>
      <c r="R81" s="455" t="e">
        <f t="shared" si="36"/>
        <v>#REF!</v>
      </c>
      <c r="S81" s="459" t="e">
        <f t="shared" si="35"/>
        <v>#REF!</v>
      </c>
    </row>
    <row r="82" spans="1:19" x14ac:dyDescent="0.25">
      <c r="A82" t="s">
        <v>276</v>
      </c>
      <c r="B82" s="411" t="s">
        <v>346</v>
      </c>
      <c r="C82" s="460" t="e">
        <f>'CEO II V GUILHERME'!#REF!</f>
        <v>#REF!</v>
      </c>
      <c r="D82" s="462" t="e">
        <f>'CEO II V GUILHERME'!#REF!</f>
        <v>#REF!</v>
      </c>
      <c r="E82" s="461" t="e">
        <f t="shared" si="30"/>
        <v>#REF!</v>
      </c>
      <c r="F82" s="462" t="e">
        <f>'CEO II V GUILHERME'!#REF!</f>
        <v>#REF!</v>
      </c>
      <c r="G82" s="463" t="e">
        <f t="shared" si="31"/>
        <v>#REF!</v>
      </c>
      <c r="H82" s="462" t="e">
        <f>'CEO II V GUILHERME'!#REF!</f>
        <v>#REF!</v>
      </c>
      <c r="I82" s="457" t="e">
        <f t="shared" si="32"/>
        <v>#REF!</v>
      </c>
      <c r="J82" s="464" t="e">
        <f t="shared" si="37"/>
        <v>#REF!</v>
      </c>
      <c r="K82" s="465" t="e">
        <f t="shared" si="34"/>
        <v>#REF!</v>
      </c>
      <c r="L82" s="462" t="e">
        <f>'CEO II V GUILHERME'!#REF!</f>
        <v>#REF!</v>
      </c>
      <c r="M82" s="463" t="e">
        <f t="shared" si="33"/>
        <v>#REF!</v>
      </c>
      <c r="N82" s="462" t="e">
        <f>'CEO II V GUILHERME'!#REF!</f>
        <v>#REF!</v>
      </c>
      <c r="O82" s="463" t="e">
        <f t="shared" si="39"/>
        <v>#REF!</v>
      </c>
      <c r="P82" s="462" t="e">
        <f>'CEO II V GUILHERME'!#REF!</f>
        <v>#REF!</v>
      </c>
      <c r="Q82" s="457" t="e">
        <f t="shared" si="38"/>
        <v>#REF!</v>
      </c>
      <c r="R82" s="464" t="e">
        <f t="shared" si="36"/>
        <v>#REF!</v>
      </c>
      <c r="S82" s="466" t="e">
        <f t="shared" si="35"/>
        <v>#REF!</v>
      </c>
    </row>
    <row r="83" spans="1:19" x14ac:dyDescent="0.25">
      <c r="A83" t="s">
        <v>276</v>
      </c>
      <c r="B83" s="411" t="s">
        <v>104</v>
      </c>
      <c r="C83" s="460" t="e">
        <f>'CEO II V GUILHERME'!#REF!</f>
        <v>#REF!</v>
      </c>
      <c r="D83" s="462" t="e">
        <f>'CEO II V GUILHERME'!#REF!</f>
        <v>#REF!</v>
      </c>
      <c r="E83" s="461" t="e">
        <f t="shared" si="30"/>
        <v>#REF!</v>
      </c>
      <c r="F83" s="462" t="e">
        <f>'CEO II V GUILHERME'!#REF!</f>
        <v>#REF!</v>
      </c>
      <c r="G83" s="463" t="e">
        <f t="shared" si="31"/>
        <v>#REF!</v>
      </c>
      <c r="H83" s="462" t="e">
        <f>'CEO II V GUILHERME'!#REF!</f>
        <v>#REF!</v>
      </c>
      <c r="I83" s="457" t="e">
        <f t="shared" si="32"/>
        <v>#REF!</v>
      </c>
      <c r="J83" s="464" t="e">
        <f t="shared" si="37"/>
        <v>#REF!</v>
      </c>
      <c r="K83" s="465" t="e">
        <f t="shared" si="34"/>
        <v>#REF!</v>
      </c>
      <c r="L83" s="462" t="e">
        <f>'CEO II V GUILHERME'!#REF!</f>
        <v>#REF!</v>
      </c>
      <c r="M83" s="463" t="e">
        <f t="shared" si="33"/>
        <v>#REF!</v>
      </c>
      <c r="N83" s="462" t="e">
        <f>'CEO II V GUILHERME'!#REF!</f>
        <v>#REF!</v>
      </c>
      <c r="O83" s="463" t="e">
        <f t="shared" si="39"/>
        <v>#REF!</v>
      </c>
      <c r="P83" s="462" t="e">
        <f>'CEO II V GUILHERME'!#REF!</f>
        <v>#REF!</v>
      </c>
      <c r="Q83" s="457" t="e">
        <f t="shared" si="38"/>
        <v>#REF!</v>
      </c>
      <c r="R83" s="464" t="e">
        <f t="shared" si="36"/>
        <v>#REF!</v>
      </c>
      <c r="S83" s="466" t="e">
        <f t="shared" si="35"/>
        <v>#REF!</v>
      </c>
    </row>
    <row r="84" spans="1:19" x14ac:dyDescent="0.25">
      <c r="A84" t="s">
        <v>276</v>
      </c>
      <c r="B84" s="411" t="s">
        <v>105</v>
      </c>
      <c r="C84" s="460" t="e">
        <f>'CEO II V GUILHERME'!#REF!</f>
        <v>#REF!</v>
      </c>
      <c r="D84" s="462" t="e">
        <f>'CEO II V GUILHERME'!#REF!</f>
        <v>#REF!</v>
      </c>
      <c r="E84" s="461" t="e">
        <f t="shared" si="30"/>
        <v>#REF!</v>
      </c>
      <c r="F84" s="462" t="e">
        <f>'CEO II V GUILHERME'!#REF!</f>
        <v>#REF!</v>
      </c>
      <c r="G84" s="463" t="e">
        <f t="shared" si="31"/>
        <v>#REF!</v>
      </c>
      <c r="H84" s="462" t="e">
        <f>'CEO II V GUILHERME'!#REF!</f>
        <v>#REF!</v>
      </c>
      <c r="I84" s="457" t="e">
        <f t="shared" si="32"/>
        <v>#REF!</v>
      </c>
      <c r="J84" s="464" t="e">
        <f t="shared" si="37"/>
        <v>#REF!</v>
      </c>
      <c r="K84" s="465" t="e">
        <f t="shared" si="34"/>
        <v>#REF!</v>
      </c>
      <c r="L84" s="462" t="e">
        <f>'CEO II V GUILHERME'!#REF!</f>
        <v>#REF!</v>
      </c>
      <c r="M84" s="463" t="e">
        <f t="shared" si="33"/>
        <v>#REF!</v>
      </c>
      <c r="N84" s="462" t="e">
        <f>'CEO II V GUILHERME'!#REF!</f>
        <v>#REF!</v>
      </c>
      <c r="O84" s="463" t="e">
        <f t="shared" si="39"/>
        <v>#REF!</v>
      </c>
      <c r="P84" s="462" t="e">
        <f>'CEO II V GUILHERME'!#REF!</f>
        <v>#REF!</v>
      </c>
      <c r="Q84" s="457" t="e">
        <f t="shared" si="38"/>
        <v>#REF!</v>
      </c>
      <c r="R84" s="464" t="e">
        <f t="shared" si="36"/>
        <v>#REF!</v>
      </c>
      <c r="S84" s="466" t="e">
        <f t="shared" si="35"/>
        <v>#REF!</v>
      </c>
    </row>
    <row r="85" spans="1:19" x14ac:dyDescent="0.25">
      <c r="A85" t="s">
        <v>276</v>
      </c>
      <c r="B85" s="411" t="s">
        <v>62</v>
      </c>
      <c r="C85" s="460" t="e">
        <f>'CEO II V GUILHERME'!#REF!</f>
        <v>#REF!</v>
      </c>
      <c r="D85" s="462" t="e">
        <f>'CEO II V GUILHERME'!#REF!</f>
        <v>#REF!</v>
      </c>
      <c r="E85" s="461" t="e">
        <f t="shared" si="30"/>
        <v>#REF!</v>
      </c>
      <c r="F85" s="462" t="e">
        <f>'CEO II V GUILHERME'!#REF!</f>
        <v>#REF!</v>
      </c>
      <c r="G85" s="463" t="e">
        <f t="shared" si="31"/>
        <v>#REF!</v>
      </c>
      <c r="H85" s="462" t="e">
        <f>'CEO II V GUILHERME'!#REF!</f>
        <v>#REF!</v>
      </c>
      <c r="I85" s="457" t="e">
        <f t="shared" si="32"/>
        <v>#REF!</v>
      </c>
      <c r="J85" s="464" t="e">
        <f t="shared" si="37"/>
        <v>#REF!</v>
      </c>
      <c r="K85" s="465" t="e">
        <f t="shared" si="34"/>
        <v>#REF!</v>
      </c>
      <c r="L85" s="462" t="e">
        <f>'CEO II V GUILHERME'!#REF!</f>
        <v>#REF!</v>
      </c>
      <c r="M85" s="463" t="e">
        <f t="shared" si="33"/>
        <v>#REF!</v>
      </c>
      <c r="N85" s="462" t="e">
        <f>'CEO II V GUILHERME'!#REF!</f>
        <v>#REF!</v>
      </c>
      <c r="O85" s="463" t="e">
        <f t="shared" si="39"/>
        <v>#REF!</v>
      </c>
      <c r="P85" s="462" t="e">
        <f>'CEO II V GUILHERME'!#REF!</f>
        <v>#REF!</v>
      </c>
      <c r="Q85" s="457" t="e">
        <f t="shared" si="38"/>
        <v>#REF!</v>
      </c>
      <c r="R85" s="464" t="e">
        <f t="shared" si="36"/>
        <v>#REF!</v>
      </c>
      <c r="S85" s="466" t="e">
        <f t="shared" si="35"/>
        <v>#REF!</v>
      </c>
    </row>
    <row r="86" spans="1:19" x14ac:dyDescent="0.25">
      <c r="A86" t="s">
        <v>276</v>
      </c>
      <c r="B86" s="411" t="s">
        <v>106</v>
      </c>
      <c r="C86" s="460" t="e">
        <f>'CEO II V GUILHERME'!#REF!</f>
        <v>#REF!</v>
      </c>
      <c r="D86" s="462" t="e">
        <f>'CEO II V GUILHERME'!#REF!</f>
        <v>#REF!</v>
      </c>
      <c r="E86" s="461" t="e">
        <f t="shared" si="30"/>
        <v>#REF!</v>
      </c>
      <c r="F86" s="462" t="e">
        <f>'CEO II V GUILHERME'!#REF!</f>
        <v>#REF!</v>
      </c>
      <c r="G86" s="463" t="e">
        <f t="shared" si="31"/>
        <v>#REF!</v>
      </c>
      <c r="H86" s="462" t="e">
        <f>'CEO II V GUILHERME'!#REF!</f>
        <v>#REF!</v>
      </c>
      <c r="I86" s="457" t="e">
        <f t="shared" si="32"/>
        <v>#REF!</v>
      </c>
      <c r="J86" s="464" t="e">
        <f t="shared" si="37"/>
        <v>#REF!</v>
      </c>
      <c r="K86" s="465" t="e">
        <f t="shared" si="34"/>
        <v>#REF!</v>
      </c>
      <c r="L86" s="462" t="e">
        <f>'CEO II V GUILHERME'!#REF!</f>
        <v>#REF!</v>
      </c>
      <c r="M86" s="463" t="e">
        <f t="shared" si="33"/>
        <v>#REF!</v>
      </c>
      <c r="N86" s="462" t="e">
        <f>'CEO II V GUILHERME'!#REF!</f>
        <v>#REF!</v>
      </c>
      <c r="O86" s="463" t="e">
        <f t="shared" si="39"/>
        <v>#REF!</v>
      </c>
      <c r="P86" s="462" t="e">
        <f>'CEO II V GUILHERME'!#REF!</f>
        <v>#REF!</v>
      </c>
      <c r="Q86" s="457" t="e">
        <f t="shared" si="38"/>
        <v>#REF!</v>
      </c>
      <c r="R86" s="464" t="e">
        <f t="shared" si="36"/>
        <v>#REF!</v>
      </c>
      <c r="S86" s="466" t="e">
        <f t="shared" si="35"/>
        <v>#REF!</v>
      </c>
    </row>
    <row r="87" spans="1:19" ht="28.5" customHeight="1" x14ac:dyDescent="0.25">
      <c r="A87" t="s">
        <v>276</v>
      </c>
      <c r="B87" s="411" t="s">
        <v>107</v>
      </c>
      <c r="C87" s="460" t="e">
        <f>'CEO II V GUILHERME'!#REF!</f>
        <v>#REF!</v>
      </c>
      <c r="D87" s="462" t="e">
        <f>'CEO II V GUILHERME'!#REF!</f>
        <v>#REF!</v>
      </c>
      <c r="E87" s="461" t="e">
        <f t="shared" si="30"/>
        <v>#REF!</v>
      </c>
      <c r="F87" s="462" t="e">
        <f>'CEO II V GUILHERME'!#REF!</f>
        <v>#REF!</v>
      </c>
      <c r="G87" s="463" t="e">
        <f t="shared" si="31"/>
        <v>#REF!</v>
      </c>
      <c r="H87" s="462" t="e">
        <f>'CEO II V GUILHERME'!#REF!</f>
        <v>#REF!</v>
      </c>
      <c r="I87" s="457" t="e">
        <f t="shared" si="32"/>
        <v>#REF!</v>
      </c>
      <c r="J87" s="464" t="e">
        <f t="shared" si="37"/>
        <v>#REF!</v>
      </c>
      <c r="K87" s="465" t="e">
        <f t="shared" si="34"/>
        <v>#REF!</v>
      </c>
      <c r="L87" s="462" t="e">
        <f>'CEO II V GUILHERME'!#REF!</f>
        <v>#REF!</v>
      </c>
      <c r="M87" s="463" t="e">
        <f t="shared" si="33"/>
        <v>#REF!</v>
      </c>
      <c r="N87" s="462" t="e">
        <f>'CEO II V GUILHERME'!#REF!</f>
        <v>#REF!</v>
      </c>
      <c r="O87" s="463" t="e">
        <f t="shared" si="39"/>
        <v>#REF!</v>
      </c>
      <c r="P87" s="462" t="e">
        <f>'CEO II V GUILHERME'!#REF!</f>
        <v>#REF!</v>
      </c>
      <c r="Q87" s="457" t="e">
        <f t="shared" si="38"/>
        <v>#REF!</v>
      </c>
      <c r="R87" s="464" t="e">
        <f t="shared" si="36"/>
        <v>#REF!</v>
      </c>
      <c r="S87" s="466" t="e">
        <f t="shared" si="35"/>
        <v>#REF!</v>
      </c>
    </row>
    <row r="88" spans="1:19" ht="15.75" thickBot="1" x14ac:dyDescent="0.3">
      <c r="B88" s="412"/>
      <c r="C88" s="489" t="e">
        <f>'CEO II V GUILHERME'!#REF!</f>
        <v>#REF!</v>
      </c>
      <c r="D88" s="491" t="e">
        <f>'CEO II V GUILHERME'!#REF!</f>
        <v>#REF!</v>
      </c>
      <c r="E88" s="490" t="e">
        <f t="shared" si="30"/>
        <v>#REF!</v>
      </c>
      <c r="F88" s="491" t="e">
        <f>'CEO II V GUILHERME'!#REF!</f>
        <v>#REF!</v>
      </c>
      <c r="G88" s="492" t="e">
        <f t="shared" si="31"/>
        <v>#REF!</v>
      </c>
      <c r="H88" s="491" t="e">
        <f>'CEO II V GUILHERME'!#REF!</f>
        <v>#REF!</v>
      </c>
      <c r="I88" s="492" t="e">
        <f t="shared" si="32"/>
        <v>#REF!</v>
      </c>
      <c r="J88" s="471" t="e">
        <f t="shared" si="37"/>
        <v>#REF!</v>
      </c>
      <c r="K88" s="472" t="e">
        <f t="shared" si="34"/>
        <v>#REF!</v>
      </c>
      <c r="L88" s="491" t="e">
        <f>'CEO II V GUILHERME'!#REF!</f>
        <v>#REF!</v>
      </c>
      <c r="M88" s="492" t="e">
        <f t="shared" si="33"/>
        <v>#REF!</v>
      </c>
      <c r="N88" s="491" t="e">
        <f>'CEO II V GUILHERME'!#REF!</f>
        <v>#REF!</v>
      </c>
      <c r="O88" s="492" t="e">
        <f t="shared" si="39"/>
        <v>#REF!</v>
      </c>
      <c r="P88" s="491" t="e">
        <f>'CEO II V GUILHERME'!#REF!</f>
        <v>#REF!</v>
      </c>
      <c r="Q88" s="492" t="e">
        <f t="shared" si="38"/>
        <v>#REF!</v>
      </c>
      <c r="R88" s="471" t="e">
        <f t="shared" si="36"/>
        <v>#REF!</v>
      </c>
      <c r="S88" s="473" t="e">
        <f t="shared" si="35"/>
        <v>#REF!</v>
      </c>
    </row>
    <row r="89" spans="1:19" ht="15.75" thickBot="1" x14ac:dyDescent="0.3">
      <c r="B89" s="51" t="s">
        <v>286</v>
      </c>
      <c r="C89" s="483" t="e">
        <f>'CEO II V GUILHERME'!#REF!</f>
        <v>#REF!</v>
      </c>
      <c r="D89" s="485" t="e">
        <f>'CEO II V GUILHERME'!#REF!</f>
        <v>#REF!</v>
      </c>
      <c r="E89" s="484" t="e">
        <f t="shared" si="30"/>
        <v>#REF!</v>
      </c>
      <c r="F89" s="485" t="e">
        <f>'CEO II V GUILHERME'!#REF!</f>
        <v>#REF!</v>
      </c>
      <c r="G89" s="481" t="e">
        <f t="shared" si="31"/>
        <v>#REF!</v>
      </c>
      <c r="H89" s="485" t="e">
        <f>'CEO II V GUILHERME'!#REF!</f>
        <v>#REF!</v>
      </c>
      <c r="I89" s="481" t="e">
        <f t="shared" si="32"/>
        <v>#REF!</v>
      </c>
      <c r="J89" s="486" t="e">
        <f t="shared" si="37"/>
        <v>#REF!</v>
      </c>
      <c r="K89" s="487" t="e">
        <f t="shared" si="34"/>
        <v>#REF!</v>
      </c>
      <c r="L89" s="485" t="e">
        <f>'CEO II V GUILHERME'!#REF!</f>
        <v>#REF!</v>
      </c>
      <c r="M89" s="481" t="e">
        <f t="shared" si="33"/>
        <v>#REF!</v>
      </c>
      <c r="N89" s="485" t="e">
        <f>'CEO II V GUILHERME'!#REF!</f>
        <v>#REF!</v>
      </c>
      <c r="O89" s="481" t="e">
        <f t="shared" si="39"/>
        <v>#REF!</v>
      </c>
      <c r="P89" s="485" t="e">
        <f>'CEO II V GUILHERME'!#REF!</f>
        <v>#REF!</v>
      </c>
      <c r="Q89" s="481" t="e">
        <f t="shared" si="38"/>
        <v>#REF!</v>
      </c>
      <c r="R89" s="486" t="e">
        <f t="shared" si="36"/>
        <v>#REF!</v>
      </c>
      <c r="S89" s="488" t="e">
        <f t="shared" si="35"/>
        <v>#REF!</v>
      </c>
    </row>
    <row r="90" spans="1:19" ht="15.75" thickTop="1" x14ac:dyDescent="0.25">
      <c r="A90" t="s">
        <v>277</v>
      </c>
      <c r="B90" s="52" t="s">
        <v>132</v>
      </c>
      <c r="C90" s="451" t="e">
        <f>'CAPS INF II VM-VG'!#REF!</f>
        <v>#REF!</v>
      </c>
      <c r="D90" s="458" t="e">
        <f>'CAPS INF II VM-VG'!#REF!</f>
        <v>#REF!</v>
      </c>
      <c r="E90" s="482" t="e">
        <f t="shared" si="30"/>
        <v>#REF!</v>
      </c>
      <c r="F90" s="458" t="e">
        <f>'CAPS INF II VM-VG'!#REF!</f>
        <v>#REF!</v>
      </c>
      <c r="G90" s="457" t="e">
        <f t="shared" si="31"/>
        <v>#REF!</v>
      </c>
      <c r="H90" s="458" t="e">
        <f>'CAPS INF II VM-VG'!#REF!</f>
        <v>#REF!</v>
      </c>
      <c r="I90" s="457" t="e">
        <f t="shared" si="32"/>
        <v>#REF!</v>
      </c>
      <c r="J90" s="455" t="e">
        <f t="shared" si="37"/>
        <v>#REF!</v>
      </c>
      <c r="K90" s="456" t="e">
        <f t="shared" si="34"/>
        <v>#REF!</v>
      </c>
      <c r="L90" s="458" t="e">
        <f>'CAPS INF II VM-VG'!#REF!</f>
        <v>#REF!</v>
      </c>
      <c r="M90" s="457" t="e">
        <f t="shared" si="33"/>
        <v>#REF!</v>
      </c>
      <c r="N90" s="458" t="e">
        <f>'CAPS INF II VM-VG'!#REF!</f>
        <v>#REF!</v>
      </c>
      <c r="O90" s="457" t="e">
        <f t="shared" si="39"/>
        <v>#REF!</v>
      </c>
      <c r="P90" s="458" t="e">
        <f>'CAPS INF II VM-VG'!#REF!</f>
        <v>#REF!</v>
      </c>
      <c r="Q90" s="457" t="e">
        <f t="shared" si="38"/>
        <v>#REF!</v>
      </c>
      <c r="R90" s="455" t="e">
        <f t="shared" si="36"/>
        <v>#REF!</v>
      </c>
      <c r="S90" s="459" t="e">
        <f t="shared" si="35"/>
        <v>#REF!</v>
      </c>
    </row>
    <row r="91" spans="1:19" x14ac:dyDescent="0.25">
      <c r="A91" t="s">
        <v>277</v>
      </c>
      <c r="B91" s="409" t="s">
        <v>133</v>
      </c>
      <c r="C91" s="460" t="e">
        <f>'CAPS INF II VM-VG'!#REF!</f>
        <v>#REF!</v>
      </c>
      <c r="D91" s="462" t="e">
        <f>'CAPS INF II VM-VG'!#REF!</f>
        <v>#REF!</v>
      </c>
      <c r="E91" s="461" t="e">
        <f t="shared" si="30"/>
        <v>#REF!</v>
      </c>
      <c r="F91" s="462" t="e">
        <f>'CAPS INF II VM-VG'!#REF!</f>
        <v>#REF!</v>
      </c>
      <c r="G91" s="463" t="e">
        <f t="shared" si="31"/>
        <v>#REF!</v>
      </c>
      <c r="H91" s="462" t="e">
        <f>'CAPS INF II VM-VG'!#REF!</f>
        <v>#REF!</v>
      </c>
      <c r="I91" s="457" t="e">
        <f t="shared" si="32"/>
        <v>#REF!</v>
      </c>
      <c r="J91" s="464" t="e">
        <f t="shared" si="37"/>
        <v>#REF!</v>
      </c>
      <c r="K91" s="465" t="e">
        <f t="shared" si="34"/>
        <v>#REF!</v>
      </c>
      <c r="L91" s="462" t="e">
        <f>'CAPS INF II VM-VG'!#REF!</f>
        <v>#REF!</v>
      </c>
      <c r="M91" s="463" t="e">
        <f t="shared" si="33"/>
        <v>#REF!</v>
      </c>
      <c r="N91" s="462" t="e">
        <f>'CAPS INF II VM-VG'!#REF!</f>
        <v>#REF!</v>
      </c>
      <c r="O91" s="463" t="e">
        <f t="shared" si="39"/>
        <v>#REF!</v>
      </c>
      <c r="P91" s="462" t="e">
        <f>'CAPS INF II VM-VG'!#REF!</f>
        <v>#REF!</v>
      </c>
      <c r="Q91" s="457" t="e">
        <f t="shared" si="38"/>
        <v>#REF!</v>
      </c>
      <c r="R91" s="464" t="e">
        <f t="shared" si="36"/>
        <v>#REF!</v>
      </c>
      <c r="S91" s="466" t="e">
        <f t="shared" si="35"/>
        <v>#REF!</v>
      </c>
    </row>
    <row r="92" spans="1:19" x14ac:dyDescent="0.25">
      <c r="A92" t="s">
        <v>277</v>
      </c>
      <c r="B92" s="409" t="s">
        <v>134</v>
      </c>
      <c r="C92" s="460" t="e">
        <f>'CAPS INF II VM-VG'!#REF!</f>
        <v>#REF!</v>
      </c>
      <c r="D92" s="462" t="e">
        <f>'CAPS INF II VM-VG'!#REF!</f>
        <v>#REF!</v>
      </c>
      <c r="E92" s="461" t="e">
        <f t="shared" ref="E92:E117" si="40">D92-C92</f>
        <v>#REF!</v>
      </c>
      <c r="F92" s="462" t="e">
        <f>'CAPS INF II VM-VG'!#REF!</f>
        <v>#REF!</v>
      </c>
      <c r="G92" s="463" t="e">
        <f t="shared" ref="G92:G117" si="41">F92-C92</f>
        <v>#REF!</v>
      </c>
      <c r="H92" s="462" t="e">
        <f>'CAPS INF II VM-VG'!#REF!</f>
        <v>#REF!</v>
      </c>
      <c r="I92" s="457" t="e">
        <f t="shared" ref="I92:I117" si="42">H92-C92</f>
        <v>#REF!</v>
      </c>
      <c r="J92" s="464" t="e">
        <f t="shared" si="37"/>
        <v>#REF!</v>
      </c>
      <c r="K92" s="465" t="e">
        <f t="shared" si="34"/>
        <v>#REF!</v>
      </c>
      <c r="L92" s="462" t="e">
        <f>'CAPS INF II VM-VG'!#REF!</f>
        <v>#REF!</v>
      </c>
      <c r="M92" s="463" t="e">
        <f t="shared" ref="M92:M117" si="43">L92-C92</f>
        <v>#REF!</v>
      </c>
      <c r="N92" s="462" t="e">
        <f>'CAPS INF II VM-VG'!#REF!</f>
        <v>#REF!</v>
      </c>
      <c r="O92" s="463" t="e">
        <f t="shared" si="39"/>
        <v>#REF!</v>
      </c>
      <c r="P92" s="462" t="e">
        <f>'CAPS INF II VM-VG'!#REF!</f>
        <v>#REF!</v>
      </c>
      <c r="Q92" s="457" t="e">
        <f t="shared" si="38"/>
        <v>#REF!</v>
      </c>
      <c r="R92" s="464" t="e">
        <f t="shared" si="36"/>
        <v>#REF!</v>
      </c>
      <c r="S92" s="466" t="e">
        <f t="shared" si="35"/>
        <v>#REF!</v>
      </c>
    </row>
    <row r="93" spans="1:19" x14ac:dyDescent="0.25">
      <c r="A93" t="s">
        <v>277</v>
      </c>
      <c r="B93" s="409" t="s">
        <v>135</v>
      </c>
      <c r="C93" s="460" t="e">
        <f>'CAPS INF II VM-VG'!#REF!</f>
        <v>#REF!</v>
      </c>
      <c r="D93" s="462" t="e">
        <f>'CAPS INF II VM-VG'!#REF!</f>
        <v>#REF!</v>
      </c>
      <c r="E93" s="461" t="e">
        <f t="shared" si="40"/>
        <v>#REF!</v>
      </c>
      <c r="F93" s="462" t="e">
        <f>'CAPS INF II VM-VG'!#REF!</f>
        <v>#REF!</v>
      </c>
      <c r="G93" s="463" t="e">
        <f t="shared" si="41"/>
        <v>#REF!</v>
      </c>
      <c r="H93" s="462" t="e">
        <f>'CAPS INF II VM-VG'!#REF!</f>
        <v>#REF!</v>
      </c>
      <c r="I93" s="457" t="e">
        <f t="shared" si="42"/>
        <v>#REF!</v>
      </c>
      <c r="J93" s="464" t="e">
        <f t="shared" si="37"/>
        <v>#REF!</v>
      </c>
      <c r="K93" s="465" t="e">
        <f t="shared" si="34"/>
        <v>#REF!</v>
      </c>
      <c r="L93" s="462" t="e">
        <f>'CAPS INF II VM-VG'!#REF!</f>
        <v>#REF!</v>
      </c>
      <c r="M93" s="463" t="e">
        <f t="shared" si="43"/>
        <v>#REF!</v>
      </c>
      <c r="N93" s="462" t="e">
        <f>'CAPS INF II VM-VG'!#REF!</f>
        <v>#REF!</v>
      </c>
      <c r="O93" s="463" t="e">
        <f t="shared" si="39"/>
        <v>#REF!</v>
      </c>
      <c r="P93" s="462" t="e">
        <f>'CAPS INF II VM-VG'!#REF!</f>
        <v>#REF!</v>
      </c>
      <c r="Q93" s="457" t="e">
        <f t="shared" si="38"/>
        <v>#REF!</v>
      </c>
      <c r="R93" s="464" t="e">
        <f t="shared" si="36"/>
        <v>#REF!</v>
      </c>
      <c r="S93" s="466" t="e">
        <f t="shared" si="35"/>
        <v>#REF!</v>
      </c>
    </row>
    <row r="94" spans="1:19" x14ac:dyDescent="0.25">
      <c r="A94" t="s">
        <v>277</v>
      </c>
      <c r="B94" s="409" t="s">
        <v>136</v>
      </c>
      <c r="C94" s="460" t="e">
        <f>'CAPS INF II VM-VG'!#REF!</f>
        <v>#REF!</v>
      </c>
      <c r="D94" s="462" t="e">
        <f>'CAPS INF II VM-VG'!#REF!</f>
        <v>#REF!</v>
      </c>
      <c r="E94" s="461" t="e">
        <f t="shared" si="40"/>
        <v>#REF!</v>
      </c>
      <c r="F94" s="462" t="e">
        <f>'CAPS INF II VM-VG'!#REF!</f>
        <v>#REF!</v>
      </c>
      <c r="G94" s="463" t="e">
        <f t="shared" si="41"/>
        <v>#REF!</v>
      </c>
      <c r="H94" s="462" t="e">
        <f>'CAPS INF II VM-VG'!#REF!</f>
        <v>#REF!</v>
      </c>
      <c r="I94" s="457" t="e">
        <f t="shared" si="42"/>
        <v>#REF!</v>
      </c>
      <c r="J94" s="464" t="e">
        <f t="shared" si="37"/>
        <v>#REF!</v>
      </c>
      <c r="K94" s="465" t="e">
        <f t="shared" si="34"/>
        <v>#REF!</v>
      </c>
      <c r="L94" s="462" t="e">
        <f>'CAPS INF II VM-VG'!#REF!</f>
        <v>#REF!</v>
      </c>
      <c r="M94" s="463" t="e">
        <f t="shared" si="43"/>
        <v>#REF!</v>
      </c>
      <c r="N94" s="462" t="e">
        <f>'CAPS INF II VM-VG'!#REF!</f>
        <v>#REF!</v>
      </c>
      <c r="O94" s="463" t="e">
        <f t="shared" si="39"/>
        <v>#REF!</v>
      </c>
      <c r="P94" s="462" t="e">
        <f>'CAPS INF II VM-VG'!#REF!</f>
        <v>#REF!</v>
      </c>
      <c r="Q94" s="457" t="e">
        <f t="shared" si="38"/>
        <v>#REF!</v>
      </c>
      <c r="R94" s="464" t="e">
        <f t="shared" si="36"/>
        <v>#REF!</v>
      </c>
      <c r="S94" s="466" t="e">
        <f t="shared" si="35"/>
        <v>#REF!</v>
      </c>
    </row>
    <row r="95" spans="1:19" x14ac:dyDescent="0.25">
      <c r="A95" t="s">
        <v>277</v>
      </c>
      <c r="B95" s="409" t="s">
        <v>137</v>
      </c>
      <c r="C95" s="460" t="e">
        <f>'CAPS INF II VM-VG'!#REF!</f>
        <v>#REF!</v>
      </c>
      <c r="D95" s="462" t="e">
        <f>'CAPS INF II VM-VG'!#REF!</f>
        <v>#REF!</v>
      </c>
      <c r="E95" s="461" t="e">
        <f t="shared" si="40"/>
        <v>#REF!</v>
      </c>
      <c r="F95" s="462" t="e">
        <f>'CAPS INF II VM-VG'!#REF!</f>
        <v>#REF!</v>
      </c>
      <c r="G95" s="463" t="e">
        <f t="shared" si="41"/>
        <v>#REF!</v>
      </c>
      <c r="H95" s="462" t="e">
        <f>'CAPS INF II VM-VG'!#REF!</f>
        <v>#REF!</v>
      </c>
      <c r="I95" s="457" t="e">
        <f t="shared" si="42"/>
        <v>#REF!</v>
      </c>
      <c r="J95" s="464" t="e">
        <f t="shared" si="37"/>
        <v>#REF!</v>
      </c>
      <c r="K95" s="465" t="e">
        <f t="shared" si="34"/>
        <v>#REF!</v>
      </c>
      <c r="L95" s="462" t="e">
        <f>'CAPS INF II VM-VG'!#REF!</f>
        <v>#REF!</v>
      </c>
      <c r="M95" s="463" t="e">
        <f t="shared" si="43"/>
        <v>#REF!</v>
      </c>
      <c r="N95" s="462" t="e">
        <f>'CAPS INF II VM-VG'!#REF!</f>
        <v>#REF!</v>
      </c>
      <c r="O95" s="463" t="e">
        <f t="shared" si="39"/>
        <v>#REF!</v>
      </c>
      <c r="P95" s="462" t="e">
        <f>'CAPS INF II VM-VG'!#REF!</f>
        <v>#REF!</v>
      </c>
      <c r="Q95" s="457" t="e">
        <f t="shared" si="38"/>
        <v>#REF!</v>
      </c>
      <c r="R95" s="464" t="e">
        <f t="shared" si="36"/>
        <v>#REF!</v>
      </c>
      <c r="S95" s="466" t="e">
        <f t="shared" si="35"/>
        <v>#REF!</v>
      </c>
    </row>
    <row r="96" spans="1:19" x14ac:dyDescent="0.25">
      <c r="A96" t="s">
        <v>277</v>
      </c>
      <c r="B96" s="409" t="s">
        <v>138</v>
      </c>
      <c r="C96" s="460" t="e">
        <f>'CAPS INF II VM-VG'!#REF!</f>
        <v>#REF!</v>
      </c>
      <c r="D96" s="462" t="e">
        <f>'CAPS INF II VM-VG'!#REF!</f>
        <v>#REF!</v>
      </c>
      <c r="E96" s="461" t="e">
        <f t="shared" si="40"/>
        <v>#REF!</v>
      </c>
      <c r="F96" s="462" t="e">
        <f>'CAPS INF II VM-VG'!#REF!</f>
        <v>#REF!</v>
      </c>
      <c r="G96" s="463" t="e">
        <f t="shared" si="41"/>
        <v>#REF!</v>
      </c>
      <c r="H96" s="462" t="e">
        <f>'CAPS INF II VM-VG'!#REF!</f>
        <v>#REF!</v>
      </c>
      <c r="I96" s="457" t="e">
        <f t="shared" si="42"/>
        <v>#REF!</v>
      </c>
      <c r="J96" s="464" t="e">
        <f t="shared" si="37"/>
        <v>#REF!</v>
      </c>
      <c r="K96" s="465" t="e">
        <f t="shared" si="34"/>
        <v>#REF!</v>
      </c>
      <c r="L96" s="462" t="e">
        <f>'CAPS INF II VM-VG'!#REF!</f>
        <v>#REF!</v>
      </c>
      <c r="M96" s="463" t="e">
        <f t="shared" si="43"/>
        <v>#REF!</v>
      </c>
      <c r="N96" s="462" t="e">
        <f>'CAPS INF II VM-VG'!#REF!</f>
        <v>#REF!</v>
      </c>
      <c r="O96" s="463" t="e">
        <f t="shared" si="39"/>
        <v>#REF!</v>
      </c>
      <c r="P96" s="462" t="e">
        <f>'CAPS INF II VM-VG'!#REF!</f>
        <v>#REF!</v>
      </c>
      <c r="Q96" s="457" t="e">
        <f t="shared" si="38"/>
        <v>#REF!</v>
      </c>
      <c r="R96" s="464" t="e">
        <f t="shared" si="36"/>
        <v>#REF!</v>
      </c>
      <c r="S96" s="466" t="e">
        <f t="shared" si="35"/>
        <v>#REF!</v>
      </c>
    </row>
    <row r="97" spans="1:19" x14ac:dyDescent="0.25">
      <c r="A97" t="s">
        <v>277</v>
      </c>
      <c r="B97" s="409" t="s">
        <v>139</v>
      </c>
      <c r="C97" s="460" t="e">
        <f>'CAPS INF II VM-VG'!#REF!</f>
        <v>#REF!</v>
      </c>
      <c r="D97" s="462" t="e">
        <f>'CAPS INF II VM-VG'!#REF!</f>
        <v>#REF!</v>
      </c>
      <c r="E97" s="461" t="e">
        <f t="shared" si="40"/>
        <v>#REF!</v>
      </c>
      <c r="F97" s="462" t="e">
        <f>'CAPS INF II VM-VG'!#REF!</f>
        <v>#REF!</v>
      </c>
      <c r="G97" s="463" t="e">
        <f t="shared" si="41"/>
        <v>#REF!</v>
      </c>
      <c r="H97" s="462" t="e">
        <f>'CAPS INF II VM-VG'!#REF!</f>
        <v>#REF!</v>
      </c>
      <c r="I97" s="457" t="e">
        <f t="shared" si="42"/>
        <v>#REF!</v>
      </c>
      <c r="J97" s="464" t="e">
        <f t="shared" si="37"/>
        <v>#REF!</v>
      </c>
      <c r="K97" s="465" t="e">
        <f t="shared" si="34"/>
        <v>#REF!</v>
      </c>
      <c r="L97" s="462" t="e">
        <f>'CAPS INF II VM-VG'!#REF!</f>
        <v>#REF!</v>
      </c>
      <c r="M97" s="463" t="e">
        <f t="shared" si="43"/>
        <v>#REF!</v>
      </c>
      <c r="N97" s="462" t="e">
        <f>'CAPS INF II VM-VG'!#REF!</f>
        <v>#REF!</v>
      </c>
      <c r="O97" s="463" t="e">
        <f t="shared" si="39"/>
        <v>#REF!</v>
      </c>
      <c r="P97" s="462" t="e">
        <f>'CAPS INF II VM-VG'!#REF!</f>
        <v>#REF!</v>
      </c>
      <c r="Q97" s="457" t="e">
        <f t="shared" si="38"/>
        <v>#REF!</v>
      </c>
      <c r="R97" s="464" t="e">
        <f t="shared" si="36"/>
        <v>#REF!</v>
      </c>
      <c r="S97" s="466" t="e">
        <f t="shared" si="35"/>
        <v>#REF!</v>
      </c>
    </row>
    <row r="98" spans="1:19" x14ac:dyDescent="0.25">
      <c r="A98" t="s">
        <v>277</v>
      </c>
      <c r="B98" s="409" t="s">
        <v>140</v>
      </c>
      <c r="C98" s="460" t="e">
        <f>'CAPS INF II VM-VG'!#REF!</f>
        <v>#REF!</v>
      </c>
      <c r="D98" s="462" t="e">
        <f>'CAPS INF II VM-VG'!#REF!</f>
        <v>#REF!</v>
      </c>
      <c r="E98" s="461" t="e">
        <f t="shared" si="40"/>
        <v>#REF!</v>
      </c>
      <c r="F98" s="462" t="e">
        <f>'CAPS INF II VM-VG'!#REF!</f>
        <v>#REF!</v>
      </c>
      <c r="G98" s="463" t="e">
        <f t="shared" si="41"/>
        <v>#REF!</v>
      </c>
      <c r="H98" s="462" t="e">
        <f>'CAPS INF II VM-VG'!#REF!</f>
        <v>#REF!</v>
      </c>
      <c r="I98" s="457" t="e">
        <f t="shared" si="42"/>
        <v>#REF!</v>
      </c>
      <c r="J98" s="464" t="e">
        <f t="shared" si="37"/>
        <v>#REF!</v>
      </c>
      <c r="K98" s="465" t="e">
        <f t="shared" si="34"/>
        <v>#REF!</v>
      </c>
      <c r="L98" s="462" t="e">
        <f>'CAPS INF II VM-VG'!#REF!</f>
        <v>#REF!</v>
      </c>
      <c r="M98" s="463" t="e">
        <f t="shared" si="43"/>
        <v>#REF!</v>
      </c>
      <c r="N98" s="462" t="e">
        <f>'CAPS INF II VM-VG'!#REF!</f>
        <v>#REF!</v>
      </c>
      <c r="O98" s="463" t="e">
        <f t="shared" si="39"/>
        <v>#REF!</v>
      </c>
      <c r="P98" s="462" t="e">
        <f>'CAPS INF II VM-VG'!#REF!</f>
        <v>#REF!</v>
      </c>
      <c r="Q98" s="457" t="e">
        <f t="shared" si="38"/>
        <v>#REF!</v>
      </c>
      <c r="R98" s="464" t="e">
        <f t="shared" si="36"/>
        <v>#REF!</v>
      </c>
      <c r="S98" s="466" t="e">
        <f t="shared" si="35"/>
        <v>#REF!</v>
      </c>
    </row>
    <row r="99" spans="1:19" ht="15.75" thickBot="1" x14ac:dyDescent="0.3">
      <c r="A99" t="s">
        <v>277</v>
      </c>
      <c r="B99" s="410" t="s">
        <v>141</v>
      </c>
      <c r="C99" s="467" t="e">
        <f>'CAPS INF II VM-VG'!#REF!</f>
        <v>#REF!</v>
      </c>
      <c r="D99" s="469" t="e">
        <f>'CAPS INF II VM-VG'!#REF!</f>
        <v>#REF!</v>
      </c>
      <c r="E99" s="468" t="e">
        <f t="shared" si="40"/>
        <v>#REF!</v>
      </c>
      <c r="F99" s="469" t="e">
        <f>'CAPS INF II VM-VG'!#REF!</f>
        <v>#REF!</v>
      </c>
      <c r="G99" s="470" t="e">
        <f t="shared" si="41"/>
        <v>#REF!</v>
      </c>
      <c r="H99" s="469" t="e">
        <f>'CAPS INF II VM-VG'!#REF!</f>
        <v>#REF!</v>
      </c>
      <c r="I99" s="470" t="e">
        <f t="shared" si="42"/>
        <v>#REF!</v>
      </c>
      <c r="J99" s="471" t="e">
        <f t="shared" si="37"/>
        <v>#REF!</v>
      </c>
      <c r="K99" s="472" t="e">
        <f t="shared" si="34"/>
        <v>#REF!</v>
      </c>
      <c r="L99" s="469" t="e">
        <f>'CAPS INF II VM-VG'!#REF!</f>
        <v>#REF!</v>
      </c>
      <c r="M99" s="470" t="e">
        <f t="shared" si="43"/>
        <v>#REF!</v>
      </c>
      <c r="N99" s="469" t="e">
        <f>'CAPS INF II VM-VG'!#REF!</f>
        <v>#REF!</v>
      </c>
      <c r="O99" s="470" t="e">
        <f t="shared" si="39"/>
        <v>#REF!</v>
      </c>
      <c r="P99" s="469" t="e">
        <f>'CAPS INF II VM-VG'!#REF!</f>
        <v>#REF!</v>
      </c>
      <c r="Q99" s="470" t="e">
        <f t="shared" si="38"/>
        <v>#REF!</v>
      </c>
      <c r="R99" s="471" t="e">
        <f t="shared" si="36"/>
        <v>#REF!</v>
      </c>
      <c r="S99" s="473" t="e">
        <f t="shared" si="35"/>
        <v>#REF!</v>
      </c>
    </row>
    <row r="100" spans="1:19" ht="15.75" thickBot="1" x14ac:dyDescent="0.3">
      <c r="B100" s="51" t="s">
        <v>285</v>
      </c>
      <c r="C100" s="483" t="e">
        <f>'CAPS INF II VM-VG'!#REF!</f>
        <v>#REF!</v>
      </c>
      <c r="D100" s="485" t="e">
        <f>'CAPS INF II VM-VG'!#REF!</f>
        <v>#REF!</v>
      </c>
      <c r="E100" s="484" t="e">
        <f t="shared" si="40"/>
        <v>#REF!</v>
      </c>
      <c r="F100" s="485" t="e">
        <f>'CAPS INF II VM-VG'!#REF!</f>
        <v>#REF!</v>
      </c>
      <c r="G100" s="481" t="e">
        <f t="shared" si="41"/>
        <v>#REF!</v>
      </c>
      <c r="H100" s="485" t="e">
        <f>'CAPS INF II VM-VG'!#REF!</f>
        <v>#REF!</v>
      </c>
      <c r="I100" s="481" t="e">
        <f t="shared" si="42"/>
        <v>#REF!</v>
      </c>
      <c r="J100" s="486" t="e">
        <f t="shared" si="37"/>
        <v>#REF!</v>
      </c>
      <c r="K100" s="487" t="e">
        <f t="shared" si="34"/>
        <v>#REF!</v>
      </c>
      <c r="L100" s="485" t="e">
        <f>'CAPS INF II VM-VG'!#REF!</f>
        <v>#REF!</v>
      </c>
      <c r="M100" s="481" t="e">
        <f t="shared" si="43"/>
        <v>#REF!</v>
      </c>
      <c r="N100" s="485" t="e">
        <f>'CAPS INF II VM-VG'!#REF!</f>
        <v>#REF!</v>
      </c>
      <c r="O100" s="481" t="e">
        <f t="shared" si="39"/>
        <v>#REF!</v>
      </c>
      <c r="P100" s="485" t="e">
        <f>'CAPS INF II VM-VG'!#REF!</f>
        <v>#REF!</v>
      </c>
      <c r="Q100" s="481" t="e">
        <f t="shared" si="38"/>
        <v>#REF!</v>
      </c>
      <c r="R100" s="486" t="e">
        <f t="shared" si="36"/>
        <v>#REF!</v>
      </c>
      <c r="S100" s="488" t="e">
        <f t="shared" si="35"/>
        <v>#REF!</v>
      </c>
    </row>
    <row r="101" spans="1:19" ht="15.75" thickTop="1" x14ac:dyDescent="0.25">
      <c r="A101" t="s">
        <v>278</v>
      </c>
      <c r="B101" s="52" t="s">
        <v>142</v>
      </c>
      <c r="C101" s="451" t="e">
        <f>'APD no CER III Carandiru'!#REF!</f>
        <v>#REF!</v>
      </c>
      <c r="D101" s="458" t="e">
        <f>'APD no CER III Carandiru'!#REF!</f>
        <v>#REF!</v>
      </c>
      <c r="E101" s="482" t="e">
        <f t="shared" si="40"/>
        <v>#REF!</v>
      </c>
      <c r="F101" s="458" t="e">
        <f>'APD no CER III Carandiru'!#REF!</f>
        <v>#REF!</v>
      </c>
      <c r="G101" s="457" t="e">
        <f t="shared" si="41"/>
        <v>#REF!</v>
      </c>
      <c r="H101" s="458" t="e">
        <f>'APD no CER III Carandiru'!#REF!</f>
        <v>#REF!</v>
      </c>
      <c r="I101" s="457" t="e">
        <f t="shared" si="42"/>
        <v>#REF!</v>
      </c>
      <c r="J101" s="455" t="e">
        <f t="shared" si="37"/>
        <v>#REF!</v>
      </c>
      <c r="K101" s="456" t="e">
        <f t="shared" si="34"/>
        <v>#REF!</v>
      </c>
      <c r="L101" s="458" t="e">
        <f>'APD no CER III Carandiru'!#REF!</f>
        <v>#REF!</v>
      </c>
      <c r="M101" s="457" t="e">
        <f t="shared" si="43"/>
        <v>#REF!</v>
      </c>
      <c r="N101" s="458" t="e">
        <f>'APD no CER III Carandiru'!#REF!</f>
        <v>#REF!</v>
      </c>
      <c r="O101" s="457" t="e">
        <f t="shared" si="39"/>
        <v>#REF!</v>
      </c>
      <c r="P101" s="458" t="e">
        <f>'APD no CER III Carandiru'!#REF!</f>
        <v>#REF!</v>
      </c>
      <c r="Q101" s="457" t="e">
        <f t="shared" si="38"/>
        <v>#REF!</v>
      </c>
      <c r="R101" s="455" t="e">
        <f t="shared" si="36"/>
        <v>#REF!</v>
      </c>
      <c r="S101" s="459" t="e">
        <f t="shared" si="35"/>
        <v>#REF!</v>
      </c>
    </row>
    <row r="102" spans="1:19" x14ac:dyDescent="0.25">
      <c r="A102" t="s">
        <v>278</v>
      </c>
      <c r="B102" s="409" t="s">
        <v>143</v>
      </c>
      <c r="C102" s="460" t="e">
        <f>'APD no CER III Carandiru'!#REF!</f>
        <v>#REF!</v>
      </c>
      <c r="D102" s="462" t="e">
        <f>'APD no CER III Carandiru'!#REF!</f>
        <v>#REF!</v>
      </c>
      <c r="E102" s="461" t="e">
        <f t="shared" si="40"/>
        <v>#REF!</v>
      </c>
      <c r="F102" s="462" t="e">
        <f>'APD no CER III Carandiru'!#REF!</f>
        <v>#REF!</v>
      </c>
      <c r="G102" s="463" t="e">
        <f t="shared" si="41"/>
        <v>#REF!</v>
      </c>
      <c r="H102" s="462" t="e">
        <f>'APD no CER III Carandiru'!#REF!</f>
        <v>#REF!</v>
      </c>
      <c r="I102" s="457" t="e">
        <f t="shared" si="42"/>
        <v>#REF!</v>
      </c>
      <c r="J102" s="464" t="e">
        <f t="shared" si="37"/>
        <v>#REF!</v>
      </c>
      <c r="K102" s="465" t="e">
        <f t="shared" si="34"/>
        <v>#REF!</v>
      </c>
      <c r="L102" s="462" t="e">
        <f>'APD no CER III Carandiru'!#REF!</f>
        <v>#REF!</v>
      </c>
      <c r="M102" s="463" t="e">
        <f t="shared" si="43"/>
        <v>#REF!</v>
      </c>
      <c r="N102" s="462" t="e">
        <f>'APD no CER III Carandiru'!#REF!</f>
        <v>#REF!</v>
      </c>
      <c r="O102" s="463" t="e">
        <f t="shared" si="39"/>
        <v>#REF!</v>
      </c>
      <c r="P102" s="462" t="e">
        <f>'APD no CER III Carandiru'!#REF!</f>
        <v>#REF!</v>
      </c>
      <c r="Q102" s="457" t="e">
        <f t="shared" si="38"/>
        <v>#REF!</v>
      </c>
      <c r="R102" s="464" t="e">
        <f t="shared" si="36"/>
        <v>#REF!</v>
      </c>
      <c r="S102" s="466" t="e">
        <f t="shared" si="35"/>
        <v>#REF!</v>
      </c>
    </row>
    <row r="103" spans="1:19" x14ac:dyDescent="0.25">
      <c r="A103" t="s">
        <v>278</v>
      </c>
      <c r="B103" s="409" t="s">
        <v>144</v>
      </c>
      <c r="C103" s="460" t="e">
        <f>'APD no CER III Carandiru'!#REF!</f>
        <v>#REF!</v>
      </c>
      <c r="D103" s="462" t="e">
        <f>'APD no CER III Carandiru'!#REF!</f>
        <v>#REF!</v>
      </c>
      <c r="E103" s="461" t="e">
        <f t="shared" si="40"/>
        <v>#REF!</v>
      </c>
      <c r="F103" s="462" t="e">
        <f>'APD no CER III Carandiru'!#REF!</f>
        <v>#REF!</v>
      </c>
      <c r="G103" s="463" t="e">
        <f t="shared" si="41"/>
        <v>#REF!</v>
      </c>
      <c r="H103" s="462" t="e">
        <f>'APD no CER III Carandiru'!#REF!</f>
        <v>#REF!</v>
      </c>
      <c r="I103" s="457" t="e">
        <f t="shared" si="42"/>
        <v>#REF!</v>
      </c>
      <c r="J103" s="464" t="e">
        <f t="shared" si="37"/>
        <v>#REF!</v>
      </c>
      <c r="K103" s="465" t="e">
        <f t="shared" si="34"/>
        <v>#REF!</v>
      </c>
      <c r="L103" s="462" t="e">
        <f>'APD no CER III Carandiru'!#REF!</f>
        <v>#REF!</v>
      </c>
      <c r="M103" s="463" t="e">
        <f t="shared" si="43"/>
        <v>#REF!</v>
      </c>
      <c r="N103" s="462" t="e">
        <f>'APD no CER III Carandiru'!#REF!</f>
        <v>#REF!</v>
      </c>
      <c r="O103" s="463" t="e">
        <f t="shared" si="39"/>
        <v>#REF!</v>
      </c>
      <c r="P103" s="462" t="e">
        <f>'APD no CER III Carandiru'!#REF!</f>
        <v>#REF!</v>
      </c>
      <c r="Q103" s="457" t="e">
        <f t="shared" si="38"/>
        <v>#REF!</v>
      </c>
      <c r="R103" s="464" t="e">
        <f t="shared" si="36"/>
        <v>#REF!</v>
      </c>
      <c r="S103" s="466" t="e">
        <f t="shared" si="35"/>
        <v>#REF!</v>
      </c>
    </row>
    <row r="104" spans="1:19" x14ac:dyDescent="0.25">
      <c r="A104" t="s">
        <v>278</v>
      </c>
      <c r="B104" s="409" t="s">
        <v>145</v>
      </c>
      <c r="C104" s="460" t="e">
        <f>'APD no CER III Carandiru'!#REF!</f>
        <v>#REF!</v>
      </c>
      <c r="D104" s="462" t="e">
        <f>'APD no CER III Carandiru'!#REF!</f>
        <v>#REF!</v>
      </c>
      <c r="E104" s="461" t="e">
        <f t="shared" si="40"/>
        <v>#REF!</v>
      </c>
      <c r="F104" s="462" t="e">
        <f>'APD no CER III Carandiru'!#REF!</f>
        <v>#REF!</v>
      </c>
      <c r="G104" s="463" t="e">
        <f t="shared" si="41"/>
        <v>#REF!</v>
      </c>
      <c r="H104" s="462" t="e">
        <f>'APD no CER III Carandiru'!#REF!</f>
        <v>#REF!</v>
      </c>
      <c r="I104" s="457" t="e">
        <f t="shared" si="42"/>
        <v>#REF!</v>
      </c>
      <c r="J104" s="464" t="e">
        <f t="shared" si="37"/>
        <v>#REF!</v>
      </c>
      <c r="K104" s="465" t="e">
        <f t="shared" si="34"/>
        <v>#REF!</v>
      </c>
      <c r="L104" s="462" t="e">
        <f>'APD no CER III Carandiru'!#REF!</f>
        <v>#REF!</v>
      </c>
      <c r="M104" s="463" t="e">
        <f t="shared" si="43"/>
        <v>#REF!</v>
      </c>
      <c r="N104" s="462" t="e">
        <f>'APD no CER III Carandiru'!#REF!</f>
        <v>#REF!</v>
      </c>
      <c r="O104" s="463" t="e">
        <f t="shared" si="39"/>
        <v>#REF!</v>
      </c>
      <c r="P104" s="462" t="e">
        <f>'APD no CER III Carandiru'!#REF!</f>
        <v>#REF!</v>
      </c>
      <c r="Q104" s="457" t="e">
        <f t="shared" si="38"/>
        <v>#REF!</v>
      </c>
      <c r="R104" s="464" t="e">
        <f t="shared" si="36"/>
        <v>#REF!</v>
      </c>
      <c r="S104" s="466" t="e">
        <f t="shared" si="35"/>
        <v>#REF!</v>
      </c>
    </row>
    <row r="105" spans="1:19" ht="15.75" thickBot="1" x14ac:dyDescent="0.3">
      <c r="A105" t="s">
        <v>278</v>
      </c>
      <c r="B105" s="410" t="s">
        <v>146</v>
      </c>
      <c r="C105" s="467" t="e">
        <f>'APD no CER III Carandiru'!#REF!</f>
        <v>#REF!</v>
      </c>
      <c r="D105" s="469" t="e">
        <f>'APD no CER III Carandiru'!#REF!</f>
        <v>#REF!</v>
      </c>
      <c r="E105" s="468" t="e">
        <f t="shared" si="40"/>
        <v>#REF!</v>
      </c>
      <c r="F105" s="469" t="e">
        <f>'APD no CER III Carandiru'!#REF!</f>
        <v>#REF!</v>
      </c>
      <c r="G105" s="470" t="e">
        <f t="shared" si="41"/>
        <v>#REF!</v>
      </c>
      <c r="H105" s="469" t="e">
        <f>'APD no CER III Carandiru'!#REF!</f>
        <v>#REF!</v>
      </c>
      <c r="I105" s="470" t="e">
        <f t="shared" si="42"/>
        <v>#REF!</v>
      </c>
      <c r="J105" s="471" t="e">
        <f t="shared" si="37"/>
        <v>#REF!</v>
      </c>
      <c r="K105" s="472" t="e">
        <f t="shared" si="34"/>
        <v>#REF!</v>
      </c>
      <c r="L105" s="469" t="e">
        <f>'APD no CER III Carandiru'!#REF!</f>
        <v>#REF!</v>
      </c>
      <c r="M105" s="470" t="e">
        <f t="shared" si="43"/>
        <v>#REF!</v>
      </c>
      <c r="N105" s="469" t="e">
        <f>'APD no CER III Carandiru'!#REF!</f>
        <v>#REF!</v>
      </c>
      <c r="O105" s="470" t="e">
        <f t="shared" si="39"/>
        <v>#REF!</v>
      </c>
      <c r="P105" s="469" t="e">
        <f>'APD no CER III Carandiru'!#REF!</f>
        <v>#REF!</v>
      </c>
      <c r="Q105" s="470" t="e">
        <f t="shared" si="38"/>
        <v>#REF!</v>
      </c>
      <c r="R105" s="471" t="e">
        <f t="shared" si="36"/>
        <v>#REF!</v>
      </c>
      <c r="S105" s="473" t="e">
        <f t="shared" si="35"/>
        <v>#REF!</v>
      </c>
    </row>
    <row r="106" spans="1:19" ht="15.75" thickBot="1" x14ac:dyDescent="0.3">
      <c r="B106" s="51" t="s">
        <v>284</v>
      </c>
      <c r="C106" s="483" t="e">
        <f>'APD no CER III Carandiru'!#REF!</f>
        <v>#REF!</v>
      </c>
      <c r="D106" s="485" t="e">
        <f>'APD no CER III Carandiru'!#REF!</f>
        <v>#REF!</v>
      </c>
      <c r="E106" s="484" t="e">
        <f t="shared" si="40"/>
        <v>#REF!</v>
      </c>
      <c r="F106" s="485" t="e">
        <f>'APD no CER III Carandiru'!#REF!</f>
        <v>#REF!</v>
      </c>
      <c r="G106" s="481" t="e">
        <f t="shared" si="41"/>
        <v>#REF!</v>
      </c>
      <c r="H106" s="485" t="e">
        <f>'APD no CER III Carandiru'!#REF!</f>
        <v>#REF!</v>
      </c>
      <c r="I106" s="493" t="e">
        <f t="shared" si="42"/>
        <v>#REF!</v>
      </c>
      <c r="J106" s="486" t="e">
        <f t="shared" si="37"/>
        <v>#REF!</v>
      </c>
      <c r="K106" s="487" t="e">
        <f t="shared" si="34"/>
        <v>#REF!</v>
      </c>
      <c r="L106" s="485" t="e">
        <f>'APD no CER III Carandiru'!#REF!</f>
        <v>#REF!</v>
      </c>
      <c r="M106" s="481" t="e">
        <f t="shared" si="43"/>
        <v>#REF!</v>
      </c>
      <c r="N106" s="485" t="e">
        <f>'APD no CER III Carandiru'!#REF!</f>
        <v>#REF!</v>
      </c>
      <c r="O106" s="481" t="e">
        <f t="shared" si="39"/>
        <v>#REF!</v>
      </c>
      <c r="P106" s="485" t="e">
        <f>'APD no CER III Carandiru'!#REF!</f>
        <v>#REF!</v>
      </c>
      <c r="Q106" s="493" t="e">
        <f t="shared" si="38"/>
        <v>#REF!</v>
      </c>
      <c r="R106" s="486" t="e">
        <f t="shared" si="36"/>
        <v>#REF!</v>
      </c>
      <c r="S106" s="488" t="e">
        <f t="shared" si="35"/>
        <v>#REF!</v>
      </c>
    </row>
    <row r="107" spans="1:19" ht="15.75" thickTop="1" x14ac:dyDescent="0.25">
      <c r="A107" t="s">
        <v>279</v>
      </c>
      <c r="B107" s="413" t="s">
        <v>151</v>
      </c>
      <c r="C107" s="494" t="e">
        <f>'CER Carandiru'!#REF!</f>
        <v>#REF!</v>
      </c>
      <c r="D107" s="495" t="e">
        <f>'CER Carandiru'!#REF!</f>
        <v>#REF!</v>
      </c>
      <c r="E107" s="461" t="e">
        <f t="shared" si="40"/>
        <v>#REF!</v>
      </c>
      <c r="F107" s="495" t="e">
        <f>'CER Carandiru'!#REF!</f>
        <v>#REF!</v>
      </c>
      <c r="G107" s="463" t="e">
        <f t="shared" si="41"/>
        <v>#REF!</v>
      </c>
      <c r="H107" s="495" t="e">
        <f>'CER Carandiru'!#REF!</f>
        <v>#REF!</v>
      </c>
      <c r="I107" s="457" t="e">
        <f t="shared" si="42"/>
        <v>#REF!</v>
      </c>
      <c r="J107" s="464" t="e">
        <f t="shared" si="37"/>
        <v>#REF!</v>
      </c>
      <c r="K107" s="465" t="e">
        <f t="shared" si="34"/>
        <v>#REF!</v>
      </c>
      <c r="L107" s="495" t="e">
        <f>'CER Carandiru'!#REF!</f>
        <v>#REF!</v>
      </c>
      <c r="M107" s="463" t="e">
        <f t="shared" si="43"/>
        <v>#REF!</v>
      </c>
      <c r="N107" s="495" t="e">
        <f>'CER Carandiru'!#REF!</f>
        <v>#REF!</v>
      </c>
      <c r="O107" s="463" t="e">
        <f t="shared" si="39"/>
        <v>#REF!</v>
      </c>
      <c r="P107" s="495" t="e">
        <f>'CER Carandiru'!#REF!</f>
        <v>#REF!</v>
      </c>
      <c r="Q107" s="457" t="e">
        <f t="shared" si="38"/>
        <v>#REF!</v>
      </c>
      <c r="R107" s="464" t="e">
        <f t="shared" si="36"/>
        <v>#REF!</v>
      </c>
      <c r="S107" s="466" t="e">
        <f t="shared" si="35"/>
        <v>#REF!</v>
      </c>
    </row>
    <row r="108" spans="1:19" x14ac:dyDescent="0.25">
      <c r="A108" t="s">
        <v>279</v>
      </c>
      <c r="B108" s="413" t="s">
        <v>159</v>
      </c>
      <c r="C108" s="494" t="e">
        <f>'CER Carandiru'!#REF!</f>
        <v>#REF!</v>
      </c>
      <c r="D108" s="495" t="e">
        <f>'CER Carandiru'!#REF!</f>
        <v>#REF!</v>
      </c>
      <c r="E108" s="461" t="e">
        <f t="shared" si="40"/>
        <v>#REF!</v>
      </c>
      <c r="F108" s="495" t="e">
        <f>'CER Carandiru'!#REF!</f>
        <v>#REF!</v>
      </c>
      <c r="G108" s="463" t="e">
        <f t="shared" si="41"/>
        <v>#REF!</v>
      </c>
      <c r="H108" s="495" t="e">
        <f>'CER Carandiru'!#REF!</f>
        <v>#REF!</v>
      </c>
      <c r="I108" s="457" t="e">
        <f t="shared" si="42"/>
        <v>#REF!</v>
      </c>
      <c r="J108" s="464" t="e">
        <f t="shared" si="37"/>
        <v>#REF!</v>
      </c>
      <c r="K108" s="465" t="e">
        <f t="shared" si="34"/>
        <v>#REF!</v>
      </c>
      <c r="L108" s="495" t="e">
        <f>'CER Carandiru'!#REF!</f>
        <v>#REF!</v>
      </c>
      <c r="M108" s="463" t="e">
        <f t="shared" si="43"/>
        <v>#REF!</v>
      </c>
      <c r="N108" s="495" t="e">
        <f>'CER Carandiru'!#REF!</f>
        <v>#REF!</v>
      </c>
      <c r="O108" s="463" t="e">
        <f t="shared" si="39"/>
        <v>#REF!</v>
      </c>
      <c r="P108" s="495" t="e">
        <f>'CER Carandiru'!#REF!</f>
        <v>#REF!</v>
      </c>
      <c r="Q108" s="457" t="e">
        <f t="shared" si="38"/>
        <v>#REF!</v>
      </c>
      <c r="R108" s="464" t="e">
        <f t="shared" si="36"/>
        <v>#REF!</v>
      </c>
      <c r="S108" s="466" t="e">
        <f t="shared" si="35"/>
        <v>#REF!</v>
      </c>
    </row>
    <row r="109" spans="1:19" x14ac:dyDescent="0.25">
      <c r="A109" t="s">
        <v>279</v>
      </c>
      <c r="B109" s="413" t="s">
        <v>160</v>
      </c>
      <c r="C109" s="494" t="e">
        <f>'CER Carandiru'!#REF!</f>
        <v>#REF!</v>
      </c>
      <c r="D109" s="495" t="e">
        <f>'CER Carandiru'!#REF!</f>
        <v>#REF!</v>
      </c>
      <c r="E109" s="461" t="e">
        <f t="shared" si="40"/>
        <v>#REF!</v>
      </c>
      <c r="F109" s="495" t="e">
        <f>'CER Carandiru'!#REF!</f>
        <v>#REF!</v>
      </c>
      <c r="G109" s="463" t="e">
        <f t="shared" si="41"/>
        <v>#REF!</v>
      </c>
      <c r="H109" s="495" t="e">
        <f>'CER Carandiru'!#REF!</f>
        <v>#REF!</v>
      </c>
      <c r="I109" s="457" t="e">
        <f t="shared" si="42"/>
        <v>#REF!</v>
      </c>
      <c r="J109" s="464" t="e">
        <f t="shared" ref="J109:J117" si="44">D109+F109+H109</f>
        <v>#REF!</v>
      </c>
      <c r="K109" s="465" t="e">
        <f t="shared" si="34"/>
        <v>#REF!</v>
      </c>
      <c r="L109" s="495" t="e">
        <f>'CER Carandiru'!#REF!</f>
        <v>#REF!</v>
      </c>
      <c r="M109" s="463" t="e">
        <f t="shared" si="43"/>
        <v>#REF!</v>
      </c>
      <c r="N109" s="495" t="e">
        <f>'CER Carandiru'!#REF!</f>
        <v>#REF!</v>
      </c>
      <c r="O109" s="463" t="e">
        <f t="shared" si="39"/>
        <v>#REF!</v>
      </c>
      <c r="P109" s="495" t="e">
        <f>'CER Carandiru'!#REF!</f>
        <v>#REF!</v>
      </c>
      <c r="Q109" s="457" t="e">
        <f t="shared" si="38"/>
        <v>#REF!</v>
      </c>
      <c r="R109" s="464" t="e">
        <f t="shared" si="36"/>
        <v>#REF!</v>
      </c>
      <c r="S109" s="466" t="e">
        <f t="shared" si="35"/>
        <v>#REF!</v>
      </c>
    </row>
    <row r="110" spans="1:19" x14ac:dyDescent="0.25">
      <c r="A110" t="s">
        <v>279</v>
      </c>
      <c r="B110" s="409" t="s">
        <v>152</v>
      </c>
      <c r="C110" s="494" t="e">
        <f>'CER Carandiru'!#REF!</f>
        <v>#REF!</v>
      </c>
      <c r="D110" s="495" t="e">
        <f>'CER Carandiru'!#REF!</f>
        <v>#REF!</v>
      </c>
      <c r="E110" s="461" t="e">
        <f t="shared" si="40"/>
        <v>#REF!</v>
      </c>
      <c r="F110" s="495" t="e">
        <f>'CER Carandiru'!#REF!</f>
        <v>#REF!</v>
      </c>
      <c r="G110" s="463" t="e">
        <f t="shared" si="41"/>
        <v>#REF!</v>
      </c>
      <c r="H110" s="495" t="e">
        <f>'CER Carandiru'!#REF!</f>
        <v>#REF!</v>
      </c>
      <c r="I110" s="457" t="e">
        <f t="shared" si="42"/>
        <v>#REF!</v>
      </c>
      <c r="J110" s="464" t="e">
        <f t="shared" si="44"/>
        <v>#REF!</v>
      </c>
      <c r="K110" s="465" t="e">
        <f t="shared" si="34"/>
        <v>#REF!</v>
      </c>
      <c r="L110" s="495" t="e">
        <f>'CER Carandiru'!#REF!</f>
        <v>#REF!</v>
      </c>
      <c r="M110" s="463" t="e">
        <f t="shared" si="43"/>
        <v>#REF!</v>
      </c>
      <c r="N110" s="495" t="e">
        <f>'CER Carandiru'!#REF!</f>
        <v>#REF!</v>
      </c>
      <c r="O110" s="463" t="e">
        <f t="shared" si="39"/>
        <v>#REF!</v>
      </c>
      <c r="P110" s="495" t="e">
        <f>'CER Carandiru'!#REF!</f>
        <v>#REF!</v>
      </c>
      <c r="Q110" s="457" t="e">
        <f t="shared" si="38"/>
        <v>#REF!</v>
      </c>
      <c r="R110" s="464" t="e">
        <f t="shared" si="36"/>
        <v>#REF!</v>
      </c>
      <c r="S110" s="466" t="e">
        <f t="shared" si="35"/>
        <v>#REF!</v>
      </c>
    </row>
    <row r="111" spans="1:19" x14ac:dyDescent="0.25">
      <c r="A111" t="s">
        <v>279</v>
      </c>
      <c r="B111" s="409" t="s">
        <v>153</v>
      </c>
      <c r="C111" s="494" t="e">
        <f>'CER Carandiru'!#REF!</f>
        <v>#REF!</v>
      </c>
      <c r="D111" s="495" t="e">
        <f>'CER Carandiru'!#REF!</f>
        <v>#REF!</v>
      </c>
      <c r="E111" s="461" t="e">
        <f t="shared" si="40"/>
        <v>#REF!</v>
      </c>
      <c r="F111" s="495" t="e">
        <f>'CER Carandiru'!#REF!</f>
        <v>#REF!</v>
      </c>
      <c r="G111" s="463" t="e">
        <f t="shared" si="41"/>
        <v>#REF!</v>
      </c>
      <c r="H111" s="495" t="e">
        <f>'CER Carandiru'!#REF!</f>
        <v>#REF!</v>
      </c>
      <c r="I111" s="457" t="e">
        <f t="shared" si="42"/>
        <v>#REF!</v>
      </c>
      <c r="J111" s="464" t="e">
        <f t="shared" si="44"/>
        <v>#REF!</v>
      </c>
      <c r="K111" s="465" t="e">
        <f t="shared" si="34"/>
        <v>#REF!</v>
      </c>
      <c r="L111" s="495" t="e">
        <f>'CER Carandiru'!#REF!</f>
        <v>#REF!</v>
      </c>
      <c r="M111" s="463" t="e">
        <f t="shared" si="43"/>
        <v>#REF!</v>
      </c>
      <c r="N111" s="495" t="e">
        <f>'CER Carandiru'!#REF!</f>
        <v>#REF!</v>
      </c>
      <c r="O111" s="463" t="e">
        <f t="shared" si="39"/>
        <v>#REF!</v>
      </c>
      <c r="P111" s="495" t="e">
        <f>'CER Carandiru'!#REF!</f>
        <v>#REF!</v>
      </c>
      <c r="Q111" s="457" t="e">
        <f t="shared" si="38"/>
        <v>#REF!</v>
      </c>
      <c r="R111" s="464" t="e">
        <f t="shared" si="36"/>
        <v>#REF!</v>
      </c>
      <c r="S111" s="466" t="e">
        <f t="shared" si="35"/>
        <v>#REF!</v>
      </c>
    </row>
    <row r="112" spans="1:19" x14ac:dyDescent="0.25">
      <c r="A112" t="s">
        <v>279</v>
      </c>
      <c r="B112" s="409" t="s">
        <v>154</v>
      </c>
      <c r="C112" s="494" t="e">
        <f>'CER Carandiru'!#REF!</f>
        <v>#REF!</v>
      </c>
      <c r="D112" s="495" t="e">
        <f>'CER Carandiru'!#REF!</f>
        <v>#REF!</v>
      </c>
      <c r="E112" s="461" t="e">
        <f t="shared" si="40"/>
        <v>#REF!</v>
      </c>
      <c r="F112" s="495" t="e">
        <f>'CER Carandiru'!#REF!</f>
        <v>#REF!</v>
      </c>
      <c r="G112" s="463" t="e">
        <f t="shared" si="41"/>
        <v>#REF!</v>
      </c>
      <c r="H112" s="495" t="e">
        <f>'CER Carandiru'!#REF!</f>
        <v>#REF!</v>
      </c>
      <c r="I112" s="457" t="e">
        <f t="shared" si="42"/>
        <v>#REF!</v>
      </c>
      <c r="J112" s="464" t="e">
        <f t="shared" si="44"/>
        <v>#REF!</v>
      </c>
      <c r="K112" s="465" t="e">
        <f t="shared" si="34"/>
        <v>#REF!</v>
      </c>
      <c r="L112" s="495" t="e">
        <f>'CER Carandiru'!#REF!</f>
        <v>#REF!</v>
      </c>
      <c r="M112" s="463" t="e">
        <f t="shared" si="43"/>
        <v>#REF!</v>
      </c>
      <c r="N112" s="495" t="e">
        <f>'CER Carandiru'!#REF!</f>
        <v>#REF!</v>
      </c>
      <c r="O112" s="463" t="e">
        <f t="shared" si="39"/>
        <v>#REF!</v>
      </c>
      <c r="P112" s="495" t="e">
        <f>'CER Carandiru'!#REF!</f>
        <v>#REF!</v>
      </c>
      <c r="Q112" s="457" t="e">
        <f t="shared" si="38"/>
        <v>#REF!</v>
      </c>
      <c r="R112" s="464" t="e">
        <f t="shared" si="36"/>
        <v>#REF!</v>
      </c>
      <c r="S112" s="466" t="e">
        <f t="shared" si="35"/>
        <v>#REF!</v>
      </c>
    </row>
    <row r="113" spans="1:19" x14ac:dyDescent="0.25">
      <c r="A113" t="s">
        <v>279</v>
      </c>
      <c r="B113" s="409" t="s">
        <v>155</v>
      </c>
      <c r="C113" s="494" t="e">
        <f>'CER Carandiru'!#REF!</f>
        <v>#REF!</v>
      </c>
      <c r="D113" s="495" t="e">
        <f>'CER Carandiru'!#REF!</f>
        <v>#REF!</v>
      </c>
      <c r="E113" s="461" t="e">
        <f t="shared" si="40"/>
        <v>#REF!</v>
      </c>
      <c r="F113" s="495" t="e">
        <f>'CER Carandiru'!#REF!</f>
        <v>#REF!</v>
      </c>
      <c r="G113" s="463" t="e">
        <f t="shared" si="41"/>
        <v>#REF!</v>
      </c>
      <c r="H113" s="495" t="e">
        <f>'CER Carandiru'!#REF!</f>
        <v>#REF!</v>
      </c>
      <c r="I113" s="457" t="e">
        <f t="shared" si="42"/>
        <v>#REF!</v>
      </c>
      <c r="J113" s="464" t="e">
        <f t="shared" si="44"/>
        <v>#REF!</v>
      </c>
      <c r="K113" s="465" t="e">
        <f t="shared" si="34"/>
        <v>#REF!</v>
      </c>
      <c r="L113" s="495" t="e">
        <f>'CER Carandiru'!#REF!</f>
        <v>#REF!</v>
      </c>
      <c r="M113" s="463" t="e">
        <f t="shared" si="43"/>
        <v>#REF!</v>
      </c>
      <c r="N113" s="495" t="e">
        <f>'CER Carandiru'!#REF!</f>
        <v>#REF!</v>
      </c>
      <c r="O113" s="463" t="e">
        <f t="shared" si="39"/>
        <v>#REF!</v>
      </c>
      <c r="P113" s="495" t="e">
        <f>'CER Carandiru'!#REF!</f>
        <v>#REF!</v>
      </c>
      <c r="Q113" s="457" t="e">
        <f t="shared" si="38"/>
        <v>#REF!</v>
      </c>
      <c r="R113" s="464" t="e">
        <f t="shared" si="36"/>
        <v>#REF!</v>
      </c>
      <c r="S113" s="466" t="e">
        <f t="shared" si="35"/>
        <v>#REF!</v>
      </c>
    </row>
    <row r="114" spans="1:19" x14ac:dyDescent="0.25">
      <c r="A114" t="s">
        <v>279</v>
      </c>
      <c r="B114" s="409" t="s">
        <v>156</v>
      </c>
      <c r="C114" s="494" t="e">
        <f>'CER Carandiru'!#REF!</f>
        <v>#REF!</v>
      </c>
      <c r="D114" s="495" t="e">
        <f>'CER Carandiru'!#REF!</f>
        <v>#REF!</v>
      </c>
      <c r="E114" s="461" t="e">
        <f t="shared" si="40"/>
        <v>#REF!</v>
      </c>
      <c r="F114" s="495" t="e">
        <f>'CER Carandiru'!#REF!</f>
        <v>#REF!</v>
      </c>
      <c r="G114" s="463" t="e">
        <f t="shared" si="41"/>
        <v>#REF!</v>
      </c>
      <c r="H114" s="495" t="e">
        <f>'CER Carandiru'!#REF!</f>
        <v>#REF!</v>
      </c>
      <c r="I114" s="457" t="e">
        <f t="shared" si="42"/>
        <v>#REF!</v>
      </c>
      <c r="J114" s="464" t="e">
        <f t="shared" si="44"/>
        <v>#REF!</v>
      </c>
      <c r="K114" s="465" t="e">
        <f t="shared" si="34"/>
        <v>#REF!</v>
      </c>
      <c r="L114" s="495" t="e">
        <f>'CER Carandiru'!#REF!</f>
        <v>#REF!</v>
      </c>
      <c r="M114" s="463" t="e">
        <f t="shared" si="43"/>
        <v>#REF!</v>
      </c>
      <c r="N114" s="495" t="e">
        <f>'CER Carandiru'!#REF!</f>
        <v>#REF!</v>
      </c>
      <c r="O114" s="463" t="e">
        <f t="shared" si="39"/>
        <v>#REF!</v>
      </c>
      <c r="P114" s="495" t="e">
        <f>'CER Carandiru'!#REF!</f>
        <v>#REF!</v>
      </c>
      <c r="Q114" s="457" t="e">
        <f t="shared" si="38"/>
        <v>#REF!</v>
      </c>
      <c r="R114" s="464" t="e">
        <f t="shared" si="36"/>
        <v>#REF!</v>
      </c>
      <c r="S114" s="466" t="e">
        <f t="shared" si="35"/>
        <v>#REF!</v>
      </c>
    </row>
    <row r="115" spans="1:19" x14ac:dyDescent="0.25">
      <c r="A115" t="s">
        <v>279</v>
      </c>
      <c r="B115" s="409" t="s">
        <v>157</v>
      </c>
      <c r="C115" s="494" t="e">
        <f>'CER Carandiru'!#REF!</f>
        <v>#REF!</v>
      </c>
      <c r="D115" s="495" t="e">
        <f>'CER Carandiru'!#REF!</f>
        <v>#REF!</v>
      </c>
      <c r="E115" s="461" t="e">
        <f t="shared" si="40"/>
        <v>#REF!</v>
      </c>
      <c r="F115" s="495" t="e">
        <f>'CER Carandiru'!#REF!</f>
        <v>#REF!</v>
      </c>
      <c r="G115" s="463" t="e">
        <f t="shared" si="41"/>
        <v>#REF!</v>
      </c>
      <c r="H115" s="495" t="e">
        <f>'CER Carandiru'!#REF!</f>
        <v>#REF!</v>
      </c>
      <c r="I115" s="457" t="e">
        <f t="shared" si="42"/>
        <v>#REF!</v>
      </c>
      <c r="J115" s="464" t="e">
        <f t="shared" si="44"/>
        <v>#REF!</v>
      </c>
      <c r="K115" s="465" t="e">
        <f t="shared" si="34"/>
        <v>#REF!</v>
      </c>
      <c r="L115" s="495" t="e">
        <f>'CER Carandiru'!#REF!</f>
        <v>#REF!</v>
      </c>
      <c r="M115" s="463" t="e">
        <f t="shared" si="43"/>
        <v>#REF!</v>
      </c>
      <c r="N115" s="495" t="e">
        <f>'CER Carandiru'!#REF!</f>
        <v>#REF!</v>
      </c>
      <c r="O115" s="463" t="e">
        <f t="shared" si="39"/>
        <v>#REF!</v>
      </c>
      <c r="P115" s="495" t="e">
        <f>'CER Carandiru'!#REF!</f>
        <v>#REF!</v>
      </c>
      <c r="Q115" s="457" t="e">
        <f t="shared" si="38"/>
        <v>#REF!</v>
      </c>
      <c r="R115" s="464" t="e">
        <f>P115+L115+N115</f>
        <v>#REF!</v>
      </c>
      <c r="S115" s="466" t="e">
        <f t="shared" si="35"/>
        <v>#REF!</v>
      </c>
    </row>
    <row r="116" spans="1:19" ht="15.75" thickBot="1" x14ac:dyDescent="0.3">
      <c r="A116" t="s">
        <v>279</v>
      </c>
      <c r="B116" s="410" t="s">
        <v>158</v>
      </c>
      <c r="C116" s="496" t="e">
        <f>'CER Carandiru'!#REF!</f>
        <v>#REF!</v>
      </c>
      <c r="D116" s="497" t="e">
        <f>'CER Carandiru'!#REF!</f>
        <v>#REF!</v>
      </c>
      <c r="E116" s="468" t="e">
        <f t="shared" si="40"/>
        <v>#REF!</v>
      </c>
      <c r="F116" s="497" t="e">
        <f>'CER Carandiru'!#REF!</f>
        <v>#REF!</v>
      </c>
      <c r="G116" s="470" t="e">
        <f t="shared" si="41"/>
        <v>#REF!</v>
      </c>
      <c r="H116" s="497" t="e">
        <f>'CER Carandiru'!#REF!</f>
        <v>#REF!</v>
      </c>
      <c r="I116" s="470" t="e">
        <f t="shared" si="42"/>
        <v>#REF!</v>
      </c>
      <c r="J116" s="471" t="e">
        <f t="shared" si="44"/>
        <v>#REF!</v>
      </c>
      <c r="K116" s="472" t="e">
        <f t="shared" si="34"/>
        <v>#REF!</v>
      </c>
      <c r="L116" s="497" t="e">
        <f>'CER Carandiru'!#REF!</f>
        <v>#REF!</v>
      </c>
      <c r="M116" s="470" t="e">
        <f t="shared" si="43"/>
        <v>#REF!</v>
      </c>
      <c r="N116" s="497" t="e">
        <f>'CER Carandiru'!#REF!</f>
        <v>#REF!</v>
      </c>
      <c r="O116" s="470" t="e">
        <f t="shared" si="39"/>
        <v>#REF!</v>
      </c>
      <c r="P116" s="497" t="e">
        <f>'CER Carandiru'!#REF!</f>
        <v>#REF!</v>
      </c>
      <c r="Q116" s="470" t="e">
        <f t="shared" si="38"/>
        <v>#REF!</v>
      </c>
      <c r="R116" s="471" t="e">
        <f t="shared" si="36"/>
        <v>#REF!</v>
      </c>
      <c r="S116" s="473" t="e">
        <f t="shared" si="35"/>
        <v>#REF!</v>
      </c>
    </row>
    <row r="117" spans="1:19" ht="15.75" thickBot="1" x14ac:dyDescent="0.3">
      <c r="B117" s="53" t="s">
        <v>283</v>
      </c>
      <c r="C117" s="498" t="e">
        <f>'CER Carandiru'!#REF!</f>
        <v>#REF!</v>
      </c>
      <c r="D117" s="500" t="e">
        <f>'CER Carandiru'!#REF!</f>
        <v>#REF!</v>
      </c>
      <c r="E117" s="499" t="e">
        <f t="shared" si="40"/>
        <v>#REF!</v>
      </c>
      <c r="F117" s="500" t="e">
        <f>'CER Carandiru'!#REF!</f>
        <v>#REF!</v>
      </c>
      <c r="G117" s="501" t="e">
        <f t="shared" si="41"/>
        <v>#REF!</v>
      </c>
      <c r="H117" s="500" t="e">
        <f>'CER Carandiru'!#REF!</f>
        <v>#REF!</v>
      </c>
      <c r="I117" s="501" t="e">
        <f t="shared" si="42"/>
        <v>#REF!</v>
      </c>
      <c r="J117" s="502" t="e">
        <f t="shared" si="44"/>
        <v>#REF!</v>
      </c>
      <c r="K117" s="503" t="e">
        <f t="shared" si="34"/>
        <v>#REF!</v>
      </c>
      <c r="L117" s="500" t="e">
        <f>'CER Carandiru'!#REF!</f>
        <v>#REF!</v>
      </c>
      <c r="M117" s="501" t="e">
        <f t="shared" si="43"/>
        <v>#REF!</v>
      </c>
      <c r="N117" s="500" t="e">
        <f>'CER Carandiru'!#REF!</f>
        <v>#REF!</v>
      </c>
      <c r="O117" s="501" t="e">
        <f t="shared" si="39"/>
        <v>#REF!</v>
      </c>
      <c r="P117" s="500" t="e">
        <f>'CER Carandiru'!#REF!</f>
        <v>#REF!</v>
      </c>
      <c r="Q117" s="501" t="e">
        <f t="shared" si="38"/>
        <v>#REF!</v>
      </c>
      <c r="R117" s="502" t="e">
        <f t="shared" si="36"/>
        <v>#REF!</v>
      </c>
      <c r="S117" s="504" t="e">
        <f t="shared" si="35"/>
        <v>#REF!</v>
      </c>
    </row>
  </sheetData>
  <sortState xmlns:xlrd2="http://schemas.microsoft.com/office/spreadsheetml/2017/richdata2" ref="B27:B121">
    <sortCondition ref="B27:B121"/>
  </sortState>
  <mergeCells count="3">
    <mergeCell ref="B2:B3"/>
    <mergeCell ref="C2:C3"/>
    <mergeCell ref="D2:S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S77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RowHeight="15" x14ac:dyDescent="0.25"/>
  <cols>
    <col min="1" max="1" width="11" bestFit="1" customWidth="1"/>
    <col min="2" max="2" width="37.140625" customWidth="1"/>
    <col min="3" max="3" width="9.7109375" style="445" customWidth="1"/>
    <col min="4" max="4" width="8" style="28" customWidth="1"/>
    <col min="5" max="5" width="8.140625" style="28" bestFit="1" customWidth="1"/>
    <col min="6" max="6" width="7.7109375" style="28" bestFit="1" customWidth="1"/>
    <col min="7" max="7" width="9" style="28" customWidth="1"/>
    <col min="8" max="8" width="7.85546875" style="28" bestFit="1" customWidth="1"/>
    <col min="9" max="9" width="9.140625" style="28"/>
    <col min="10" max="10" width="10" style="445" customWidth="1"/>
    <col min="11" max="11" width="9.140625" style="28"/>
    <col min="12" max="12" width="7.5703125" style="28" bestFit="1" customWidth="1"/>
    <col min="13" max="13" width="8.140625" style="28" bestFit="1" customWidth="1"/>
    <col min="14" max="14" width="7.5703125" style="28" bestFit="1" customWidth="1"/>
    <col min="15" max="15" width="8.140625" style="28" bestFit="1" customWidth="1"/>
    <col min="16" max="16" width="7.5703125" style="28" bestFit="1" customWidth="1"/>
    <col min="17" max="17" width="8.140625" style="28" bestFit="1" customWidth="1"/>
    <col min="18" max="18" width="10" style="445" customWidth="1"/>
    <col min="19" max="19" width="9.140625" style="28"/>
  </cols>
  <sheetData>
    <row r="1" spans="1:19" ht="18" x14ac:dyDescent="0.35">
      <c r="A1" s="648" t="s">
        <v>358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507"/>
      <c r="O1" s="507"/>
    </row>
    <row r="2" spans="1:19" ht="18" x14ac:dyDescent="0.35">
      <c r="A2" s="648" t="s">
        <v>0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507"/>
      <c r="O2" s="507"/>
    </row>
    <row r="3" spans="1:19" ht="15.75" x14ac:dyDescent="0.25">
      <c r="A3" t="s">
        <v>183</v>
      </c>
      <c r="B3" s="682" t="s">
        <v>185</v>
      </c>
      <c r="C3" s="682" t="s">
        <v>184</v>
      </c>
      <c r="D3" s="683"/>
      <c r="E3" s="683"/>
      <c r="F3" s="683"/>
      <c r="G3" s="683"/>
      <c r="H3" s="684"/>
      <c r="I3" s="684"/>
      <c r="J3" s="683"/>
      <c r="K3" s="683"/>
      <c r="L3" s="683"/>
      <c r="M3" s="683"/>
    </row>
    <row r="4" spans="1:19" ht="47.25" x14ac:dyDescent="0.25">
      <c r="A4" s="33"/>
      <c r="B4" s="682"/>
      <c r="C4" s="682"/>
      <c r="D4" s="399">
        <v>42430</v>
      </c>
      <c r="E4" s="537" t="s">
        <v>266</v>
      </c>
      <c r="F4" s="399">
        <v>42461</v>
      </c>
      <c r="G4" s="537" t="s">
        <v>266</v>
      </c>
      <c r="H4" s="399">
        <v>42491</v>
      </c>
      <c r="I4" s="537" t="s">
        <v>266</v>
      </c>
      <c r="J4" s="400" t="s">
        <v>352</v>
      </c>
      <c r="K4" s="400" t="s">
        <v>266</v>
      </c>
      <c r="L4" s="399">
        <v>42522</v>
      </c>
      <c r="M4" s="537" t="s">
        <v>266</v>
      </c>
      <c r="N4" s="399">
        <v>42552</v>
      </c>
      <c r="O4" s="537" t="s">
        <v>266</v>
      </c>
      <c r="P4" s="399">
        <v>42583</v>
      </c>
      <c r="Q4" s="537" t="s">
        <v>266</v>
      </c>
      <c r="R4" s="400" t="s">
        <v>355</v>
      </c>
      <c r="S4" s="400" t="s">
        <v>266</v>
      </c>
    </row>
    <row r="5" spans="1:19" x14ac:dyDescent="0.25">
      <c r="A5" s="34" t="s">
        <v>186</v>
      </c>
      <c r="B5" s="680" t="s">
        <v>187</v>
      </c>
      <c r="C5" s="680"/>
      <c r="D5" s="680"/>
      <c r="E5" s="680"/>
      <c r="F5" s="680"/>
      <c r="G5" s="680"/>
      <c r="H5" s="681"/>
      <c r="I5" s="681"/>
      <c r="J5" s="680"/>
      <c r="K5" s="680"/>
      <c r="L5" s="680"/>
      <c r="M5" s="680"/>
    </row>
    <row r="6" spans="1:19" ht="15" customHeight="1" x14ac:dyDescent="0.25">
      <c r="A6" s="35">
        <v>4</v>
      </c>
      <c r="B6" s="49" t="s">
        <v>188</v>
      </c>
      <c r="C6" s="538">
        <v>460</v>
      </c>
      <c r="D6" s="508">
        <f>'AMA E ISOLINA MAZZEI'!G7</f>
        <v>555</v>
      </c>
      <c r="E6" s="46">
        <f>((D6/$C6))-1</f>
        <v>0.20652173913043481</v>
      </c>
      <c r="F6" s="508">
        <f>'AMA E ISOLINA MAZZEI'!I7</f>
        <v>486</v>
      </c>
      <c r="G6" s="46">
        <f>((F6/$C6))-1</f>
        <v>5.6521739130434678E-2</v>
      </c>
      <c r="H6" s="508">
        <f>'AMA E ISOLINA MAZZEI'!K7</f>
        <v>567</v>
      </c>
      <c r="I6" s="46">
        <f>((H6/$C6))-1</f>
        <v>0.23260869565217401</v>
      </c>
      <c r="J6" s="523" t="e">
        <f>'AMA E ISOLINA MAZZEI'!#REF!</f>
        <v>#REF!</v>
      </c>
      <c r="K6" s="47" t="e">
        <f t="shared" ref="K6:K16" si="0">((J6/(C6*3)))-1</f>
        <v>#REF!</v>
      </c>
      <c r="L6" s="508">
        <f>'AMA E ISOLINA MAZZEI'!M7</f>
        <v>546</v>
      </c>
      <c r="M6" s="46">
        <f t="shared" ref="M6:M16" si="1">((L6/$C6))-1</f>
        <v>0.18695652173913047</v>
      </c>
      <c r="N6" s="508">
        <f>'AMA E ISOLINA MAZZEI'!O7</f>
        <v>575</v>
      </c>
      <c r="O6" s="46">
        <f t="shared" ref="O6:O16" si="2">((N6/$C6))-1</f>
        <v>0.25</v>
      </c>
      <c r="P6" s="508">
        <f>'AMA E ISOLINA MAZZEI'!Q7</f>
        <v>470</v>
      </c>
      <c r="Q6" s="46">
        <f t="shared" ref="Q6:Q16" si="3">((P6/$C6))-1</f>
        <v>2.1739130434782705E-2</v>
      </c>
      <c r="R6" s="523">
        <f>SUM(L6,N6,P6)</f>
        <v>1591</v>
      </c>
      <c r="S6" s="47">
        <f t="shared" ref="S6:S16" si="4">((R6/(C6*3)))-1</f>
        <v>0.15289855072463765</v>
      </c>
    </row>
    <row r="7" spans="1:19" ht="15" customHeight="1" x14ac:dyDescent="0.25">
      <c r="A7" s="35">
        <v>6</v>
      </c>
      <c r="B7" s="49" t="s">
        <v>189</v>
      </c>
      <c r="C7" s="538">
        <v>690</v>
      </c>
      <c r="D7" s="508">
        <f>'AMA E ISOLINA MAZZEI'!G8</f>
        <v>790</v>
      </c>
      <c r="E7" s="46">
        <f t="shared" ref="E7:E16" si="5">((D7/$C7))-1</f>
        <v>0.14492753623188404</v>
      </c>
      <c r="F7" s="508">
        <f>'AMA E ISOLINA MAZZEI'!I8</f>
        <v>794</v>
      </c>
      <c r="G7" s="46">
        <f t="shared" ref="G7:G16" si="6">((F7/$C7))-1</f>
        <v>0.15072463768115951</v>
      </c>
      <c r="H7" s="508">
        <f>'AMA E ISOLINA MAZZEI'!K8</f>
        <v>571</v>
      </c>
      <c r="I7" s="46">
        <f t="shared" ref="I7:I16" si="7">((H7/$C7))-1</f>
        <v>-0.172463768115942</v>
      </c>
      <c r="J7" s="523" t="e">
        <f>'AMA E ISOLINA MAZZEI'!#REF!</f>
        <v>#REF!</v>
      </c>
      <c r="K7" s="47" t="e">
        <f t="shared" si="0"/>
        <v>#REF!</v>
      </c>
      <c r="L7" s="508">
        <f>'AMA E ISOLINA MAZZEI'!M8</f>
        <v>657</v>
      </c>
      <c r="M7" s="46">
        <f t="shared" si="1"/>
        <v>-4.7826086956521685E-2</v>
      </c>
      <c r="N7" s="508">
        <f>'AMA E ISOLINA MAZZEI'!O8</f>
        <v>617</v>
      </c>
      <c r="O7" s="46">
        <f t="shared" si="2"/>
        <v>-0.10579710144927534</v>
      </c>
      <c r="P7" s="508">
        <f>'AMA E ISOLINA MAZZEI'!Q8</f>
        <v>829</v>
      </c>
      <c r="Q7" s="46">
        <f t="shared" si="3"/>
        <v>0.20144927536231894</v>
      </c>
      <c r="R7" s="523">
        <f t="shared" ref="R7:R15" si="8">SUM(L7,N7,P7)</f>
        <v>2103</v>
      </c>
      <c r="S7" s="47">
        <f t="shared" si="4"/>
        <v>1.5942028985507228E-2</v>
      </c>
    </row>
    <row r="8" spans="1:19" ht="15" customHeight="1" x14ac:dyDescent="0.25">
      <c r="A8" s="35">
        <v>5</v>
      </c>
      <c r="B8" s="49" t="s">
        <v>191</v>
      </c>
      <c r="C8" s="538">
        <v>575</v>
      </c>
      <c r="D8" s="508">
        <f>'AMA E ISOLINA MAZZEI'!G9</f>
        <v>676</v>
      </c>
      <c r="E8" s="46">
        <f t="shared" si="5"/>
        <v>0.17565217391304344</v>
      </c>
      <c r="F8" s="508">
        <f>'AMA E ISOLINA MAZZEI'!I9</f>
        <v>579</v>
      </c>
      <c r="G8" s="46">
        <f t="shared" si="6"/>
        <v>6.9565217391305278E-3</v>
      </c>
      <c r="H8" s="508">
        <f>'AMA E ISOLINA MAZZEI'!K9</f>
        <v>660</v>
      </c>
      <c r="I8" s="46">
        <f t="shared" si="7"/>
        <v>0.14782608695652177</v>
      </c>
      <c r="J8" s="523" t="e">
        <f>'AMA E ISOLINA MAZZEI'!#REF!</f>
        <v>#REF!</v>
      </c>
      <c r="K8" s="47" t="e">
        <f t="shared" si="0"/>
        <v>#REF!</v>
      </c>
      <c r="L8" s="508">
        <f>'AMA E ISOLINA MAZZEI'!M9</f>
        <v>632</v>
      </c>
      <c r="M8" s="46">
        <f t="shared" si="1"/>
        <v>9.9130434782608745E-2</v>
      </c>
      <c r="N8" s="508">
        <f>'AMA E ISOLINA MAZZEI'!O9</f>
        <v>583</v>
      </c>
      <c r="O8" s="46">
        <f t="shared" si="2"/>
        <v>1.3913043478260834E-2</v>
      </c>
      <c r="P8" s="508">
        <f>'AMA E ISOLINA MAZZEI'!Q9</f>
        <v>327</v>
      </c>
      <c r="Q8" s="46">
        <f t="shared" si="3"/>
        <v>-0.43130434782608695</v>
      </c>
      <c r="R8" s="523">
        <f t="shared" si="8"/>
        <v>1542</v>
      </c>
      <c r="S8" s="47">
        <f t="shared" si="4"/>
        <v>-0.10608695652173916</v>
      </c>
    </row>
    <row r="9" spans="1:19" ht="15" customHeight="1" x14ac:dyDescent="0.25">
      <c r="A9" s="35">
        <v>6</v>
      </c>
      <c r="B9" s="49" t="s">
        <v>193</v>
      </c>
      <c r="C9" s="538">
        <v>690</v>
      </c>
      <c r="D9" s="508">
        <f>'AMA E ISOLINA MAZZEI'!G10</f>
        <v>498</v>
      </c>
      <c r="E9" s="46">
        <f t="shared" si="5"/>
        <v>-0.27826086956521734</v>
      </c>
      <c r="F9" s="508">
        <f>'AMA E ISOLINA MAZZEI'!I10</f>
        <v>531</v>
      </c>
      <c r="G9" s="46">
        <f t="shared" si="6"/>
        <v>-0.23043478260869565</v>
      </c>
      <c r="H9" s="508">
        <f>'AMA E ISOLINA MAZZEI'!K10</f>
        <v>531</v>
      </c>
      <c r="I9" s="46">
        <f t="shared" si="7"/>
        <v>-0.23043478260869565</v>
      </c>
      <c r="J9" s="523" t="e">
        <f>'AMA E ISOLINA MAZZEI'!#REF!</f>
        <v>#REF!</v>
      </c>
      <c r="K9" s="47" t="e">
        <f t="shared" si="0"/>
        <v>#REF!</v>
      </c>
      <c r="L9" s="508">
        <f>'AMA E ISOLINA MAZZEI'!M10</f>
        <v>329</v>
      </c>
      <c r="M9" s="46">
        <f t="shared" si="1"/>
        <v>-0.52318840579710146</v>
      </c>
      <c r="N9" s="508">
        <f>'AMA E ISOLINA MAZZEI'!O10</f>
        <v>442</v>
      </c>
      <c r="O9" s="46">
        <f t="shared" si="2"/>
        <v>-0.35942028985507246</v>
      </c>
      <c r="P9" s="508">
        <f>'AMA E ISOLINA MAZZEI'!Q10</f>
        <v>467</v>
      </c>
      <c r="Q9" s="46">
        <f t="shared" si="3"/>
        <v>-0.3231884057971014</v>
      </c>
      <c r="R9" s="523">
        <f t="shared" si="8"/>
        <v>1238</v>
      </c>
      <c r="S9" s="47">
        <f t="shared" si="4"/>
        <v>-0.40193236714975844</v>
      </c>
    </row>
    <row r="10" spans="1:19" ht="15" customHeight="1" x14ac:dyDescent="0.25">
      <c r="A10" s="35">
        <v>6</v>
      </c>
      <c r="B10" s="49" t="s">
        <v>194</v>
      </c>
      <c r="C10" s="538">
        <v>690</v>
      </c>
      <c r="D10" s="508">
        <f>'AMA E ISOLINA MAZZEI'!G11</f>
        <v>688</v>
      </c>
      <c r="E10" s="46">
        <f t="shared" si="5"/>
        <v>-2.8985507246376274E-3</v>
      </c>
      <c r="F10" s="508">
        <f>'AMA E ISOLINA MAZZEI'!I11</f>
        <v>669</v>
      </c>
      <c r="G10" s="46">
        <f t="shared" si="6"/>
        <v>-3.0434782608695699E-2</v>
      </c>
      <c r="H10" s="508">
        <f>'AMA E ISOLINA MAZZEI'!K11</f>
        <v>573</v>
      </c>
      <c r="I10" s="46">
        <f t="shared" si="7"/>
        <v>-0.16956521739130437</v>
      </c>
      <c r="J10" s="523" t="e">
        <f>'AMA E ISOLINA MAZZEI'!#REF!</f>
        <v>#REF!</v>
      </c>
      <c r="K10" s="47" t="e">
        <f t="shared" si="0"/>
        <v>#REF!</v>
      </c>
      <c r="L10" s="508">
        <f>'AMA E ISOLINA MAZZEI'!M11</f>
        <v>317</v>
      </c>
      <c r="M10" s="46">
        <f t="shared" si="1"/>
        <v>-0.54057971014492756</v>
      </c>
      <c r="N10" s="508">
        <f>'AMA E ISOLINA MAZZEI'!O11</f>
        <v>571</v>
      </c>
      <c r="O10" s="46">
        <f t="shared" si="2"/>
        <v>-0.172463768115942</v>
      </c>
      <c r="P10" s="508">
        <f>'AMA E ISOLINA MAZZEI'!Q11</f>
        <v>677</v>
      </c>
      <c r="Q10" s="46">
        <f t="shared" si="3"/>
        <v>-1.8840579710144967E-2</v>
      </c>
      <c r="R10" s="523">
        <f t="shared" si="8"/>
        <v>1565</v>
      </c>
      <c r="S10" s="47">
        <f t="shared" si="4"/>
        <v>-0.2439613526570048</v>
      </c>
    </row>
    <row r="11" spans="1:19" ht="15" customHeight="1" x14ac:dyDescent="0.25">
      <c r="A11" s="35">
        <v>4</v>
      </c>
      <c r="B11" s="50" t="s">
        <v>196</v>
      </c>
      <c r="C11" s="538">
        <v>460</v>
      </c>
      <c r="D11" s="508">
        <f>'AMA E ISOLINA MAZZEI'!G12</f>
        <v>0</v>
      </c>
      <c r="E11" s="46">
        <f t="shared" si="5"/>
        <v>-1</v>
      </c>
      <c r="F11" s="508">
        <f>'AMA E ISOLINA MAZZEI'!I12</f>
        <v>0</v>
      </c>
      <c r="G11" s="46">
        <f t="shared" si="6"/>
        <v>-1</v>
      </c>
      <c r="H11" s="508">
        <f>'AMA E ISOLINA MAZZEI'!K12</f>
        <v>0</v>
      </c>
      <c r="I11" s="46">
        <f t="shared" si="7"/>
        <v>-1</v>
      </c>
      <c r="J11" s="523" t="e">
        <f>'AMA E ISOLINA MAZZEI'!#REF!</f>
        <v>#REF!</v>
      </c>
      <c r="K11" s="47" t="e">
        <f t="shared" si="0"/>
        <v>#REF!</v>
      </c>
      <c r="L11" s="508">
        <f>'AMA E ISOLINA MAZZEI'!M12</f>
        <v>0</v>
      </c>
      <c r="M11" s="46">
        <f t="shared" si="1"/>
        <v>-1</v>
      </c>
      <c r="N11" s="508">
        <f>'AMA E ISOLINA MAZZEI'!O12</f>
        <v>0</v>
      </c>
      <c r="O11" s="46">
        <f t="shared" si="2"/>
        <v>-1</v>
      </c>
      <c r="P11" s="508">
        <f>'AMA E ISOLINA MAZZEI'!Q12</f>
        <v>77</v>
      </c>
      <c r="Q11" s="46">
        <f t="shared" si="3"/>
        <v>-0.83260869565217388</v>
      </c>
      <c r="R11" s="523">
        <f t="shared" si="8"/>
        <v>77</v>
      </c>
      <c r="S11" s="47">
        <f t="shared" si="4"/>
        <v>-0.94420289855072459</v>
      </c>
    </row>
    <row r="12" spans="1:19" ht="15" customHeight="1" x14ac:dyDescent="0.25">
      <c r="A12" s="35">
        <v>5</v>
      </c>
      <c r="B12" s="49" t="s">
        <v>197</v>
      </c>
      <c r="C12" s="538">
        <v>575</v>
      </c>
      <c r="D12" s="508">
        <f>'AMA E ISOLINA MAZZEI'!G13</f>
        <v>570</v>
      </c>
      <c r="E12" s="46">
        <f t="shared" si="5"/>
        <v>-8.6956521739129933E-3</v>
      </c>
      <c r="F12" s="508">
        <f>'AMA E ISOLINA MAZZEI'!I13</f>
        <v>455</v>
      </c>
      <c r="G12" s="46">
        <f t="shared" si="6"/>
        <v>-0.20869565217391306</v>
      </c>
      <c r="H12" s="508">
        <f>'AMA E ISOLINA MAZZEI'!K13</f>
        <v>559</v>
      </c>
      <c r="I12" s="46">
        <f t="shared" si="7"/>
        <v>-2.7826086956521778E-2</v>
      </c>
      <c r="J12" s="523" t="e">
        <f>'AMA E ISOLINA MAZZEI'!#REF!</f>
        <v>#REF!</v>
      </c>
      <c r="K12" s="47" t="e">
        <f t="shared" si="0"/>
        <v>#REF!</v>
      </c>
      <c r="L12" s="508">
        <f>'AMA E ISOLINA MAZZEI'!M13</f>
        <v>437</v>
      </c>
      <c r="M12" s="46">
        <f t="shared" si="1"/>
        <v>-0.24</v>
      </c>
      <c r="N12" s="508">
        <f>'AMA E ISOLINA MAZZEI'!O13</f>
        <v>301</v>
      </c>
      <c r="O12" s="46">
        <f t="shared" si="2"/>
        <v>-0.47652173913043483</v>
      </c>
      <c r="P12" s="508">
        <f>'AMA E ISOLINA MAZZEI'!Q13</f>
        <v>620</v>
      </c>
      <c r="Q12" s="46">
        <f t="shared" si="3"/>
        <v>7.8260869565217384E-2</v>
      </c>
      <c r="R12" s="523">
        <f t="shared" si="8"/>
        <v>1358</v>
      </c>
      <c r="S12" s="47">
        <f t="shared" si="4"/>
        <v>-0.21275362318840585</v>
      </c>
    </row>
    <row r="13" spans="1:19" ht="15" customHeight="1" x14ac:dyDescent="0.25">
      <c r="A13" s="35">
        <v>3</v>
      </c>
      <c r="B13" s="49" t="s">
        <v>190</v>
      </c>
      <c r="C13" s="538">
        <v>345</v>
      </c>
      <c r="D13" s="508">
        <f>'AMA E ISOLINA MAZZEI'!G14</f>
        <v>351</v>
      </c>
      <c r="E13" s="46">
        <f t="shared" si="5"/>
        <v>1.7391304347825987E-2</v>
      </c>
      <c r="F13" s="508">
        <f>'AMA E ISOLINA MAZZEI'!I14</f>
        <v>362</v>
      </c>
      <c r="G13" s="46">
        <f t="shared" si="6"/>
        <v>4.9275362318840665E-2</v>
      </c>
      <c r="H13" s="508">
        <f>'AMA E ISOLINA MAZZEI'!K14</f>
        <v>331</v>
      </c>
      <c r="I13" s="46">
        <f t="shared" si="7"/>
        <v>-4.0579710144927561E-2</v>
      </c>
      <c r="J13" s="523" t="e">
        <f>'AMA E ISOLINA MAZZEI'!#REF!</f>
        <v>#REF!</v>
      </c>
      <c r="K13" s="47" t="e">
        <f t="shared" si="0"/>
        <v>#REF!</v>
      </c>
      <c r="L13" s="508">
        <f>'AMA E ISOLINA MAZZEI'!M14</f>
        <v>232</v>
      </c>
      <c r="M13" s="46">
        <f t="shared" si="1"/>
        <v>-0.327536231884058</v>
      </c>
      <c r="N13" s="508">
        <f>'AMA E ISOLINA MAZZEI'!O14</f>
        <v>249</v>
      </c>
      <c r="O13" s="46">
        <f t="shared" si="2"/>
        <v>-0.27826086956521734</v>
      </c>
      <c r="P13" s="508">
        <f>'AMA E ISOLINA MAZZEI'!Q14</f>
        <v>322</v>
      </c>
      <c r="Q13" s="46">
        <f t="shared" si="3"/>
        <v>-6.6666666666666652E-2</v>
      </c>
      <c r="R13" s="523">
        <f t="shared" si="8"/>
        <v>803</v>
      </c>
      <c r="S13" s="47">
        <f t="shared" si="4"/>
        <v>-0.22415458937198063</v>
      </c>
    </row>
    <row r="14" spans="1:19" ht="15" customHeight="1" x14ac:dyDescent="0.25">
      <c r="A14" s="35">
        <v>2</v>
      </c>
      <c r="B14" s="49" t="s">
        <v>192</v>
      </c>
      <c r="C14" s="538">
        <v>230</v>
      </c>
      <c r="D14" s="508">
        <f>'AMA E ISOLINA MAZZEI'!G15</f>
        <v>187</v>
      </c>
      <c r="E14" s="46">
        <f t="shared" si="5"/>
        <v>-0.18695652173913047</v>
      </c>
      <c r="F14" s="508">
        <f>'AMA E ISOLINA MAZZEI'!I15</f>
        <v>92</v>
      </c>
      <c r="G14" s="46">
        <f t="shared" si="6"/>
        <v>-0.6</v>
      </c>
      <c r="H14" s="508">
        <f>'AMA E ISOLINA MAZZEI'!K15</f>
        <v>145</v>
      </c>
      <c r="I14" s="46">
        <f t="shared" si="7"/>
        <v>-0.36956521739130432</v>
      </c>
      <c r="J14" s="523" t="e">
        <f>'AMA E ISOLINA MAZZEI'!#REF!</f>
        <v>#REF!</v>
      </c>
      <c r="K14" s="47" t="e">
        <f t="shared" si="0"/>
        <v>#REF!</v>
      </c>
      <c r="L14" s="508">
        <f>'AMA E ISOLINA MAZZEI'!M15</f>
        <v>104</v>
      </c>
      <c r="M14" s="46">
        <f t="shared" si="1"/>
        <v>-0.54782608695652169</v>
      </c>
      <c r="N14" s="508">
        <f>'AMA E ISOLINA MAZZEI'!O15</f>
        <v>94</v>
      </c>
      <c r="O14" s="46">
        <f t="shared" si="2"/>
        <v>-0.59130434782608687</v>
      </c>
      <c r="P14" s="508">
        <f>'AMA E ISOLINA MAZZEI'!Q15</f>
        <v>182</v>
      </c>
      <c r="Q14" s="46">
        <f t="shared" si="3"/>
        <v>-0.20869565217391306</v>
      </c>
      <c r="R14" s="523">
        <f t="shared" si="8"/>
        <v>380</v>
      </c>
      <c r="S14" s="47">
        <f t="shared" si="4"/>
        <v>-0.44927536231884058</v>
      </c>
    </row>
    <row r="15" spans="1:19" ht="15" customHeight="1" thickBot="1" x14ac:dyDescent="0.3">
      <c r="A15" s="35">
        <v>1</v>
      </c>
      <c r="B15" s="514" t="s">
        <v>195</v>
      </c>
      <c r="C15" s="539">
        <v>115</v>
      </c>
      <c r="D15" s="515">
        <f>'AMA E ISOLINA MAZZEI'!G16</f>
        <v>123</v>
      </c>
      <c r="E15" s="516">
        <f t="shared" si="5"/>
        <v>6.956521739130439E-2</v>
      </c>
      <c r="F15" s="515">
        <f>'AMA E ISOLINA MAZZEI'!I16</f>
        <v>115</v>
      </c>
      <c r="G15" s="516">
        <f t="shared" si="6"/>
        <v>0</v>
      </c>
      <c r="H15" s="515">
        <f>'AMA E ISOLINA MAZZEI'!K16</f>
        <v>143</v>
      </c>
      <c r="I15" s="516">
        <f t="shared" si="7"/>
        <v>0.24347826086956514</v>
      </c>
      <c r="J15" s="524" t="e">
        <f>'AMA E ISOLINA MAZZEI'!#REF!</f>
        <v>#REF!</v>
      </c>
      <c r="K15" s="517" t="e">
        <f t="shared" si="0"/>
        <v>#REF!</v>
      </c>
      <c r="L15" s="515">
        <f>'AMA E ISOLINA MAZZEI'!M16</f>
        <v>106</v>
      </c>
      <c r="M15" s="516">
        <f t="shared" si="1"/>
        <v>-7.8260869565217384E-2</v>
      </c>
      <c r="N15" s="515">
        <f>'AMA E ISOLINA MAZZEI'!O16</f>
        <v>100</v>
      </c>
      <c r="O15" s="516">
        <f t="shared" si="2"/>
        <v>-0.13043478260869568</v>
      </c>
      <c r="P15" s="515">
        <f>'AMA E ISOLINA MAZZEI'!Q16</f>
        <v>161</v>
      </c>
      <c r="Q15" s="516">
        <f t="shared" si="3"/>
        <v>0.39999999999999991</v>
      </c>
      <c r="R15" s="524">
        <f t="shared" si="8"/>
        <v>367</v>
      </c>
      <c r="S15" s="517">
        <f t="shared" si="4"/>
        <v>6.3768115942028913E-2</v>
      </c>
    </row>
    <row r="16" spans="1:19" ht="15" customHeight="1" x14ac:dyDescent="0.25">
      <c r="A16" s="35"/>
      <c r="B16" s="518" t="s">
        <v>324</v>
      </c>
      <c r="C16" s="519">
        <f>SUM(C6:C15)</f>
        <v>4830</v>
      </c>
      <c r="D16" s="520">
        <f>SUM(D6:D15)</f>
        <v>4438</v>
      </c>
      <c r="E16" s="521">
        <f t="shared" si="5"/>
        <v>-8.1159420289855122E-2</v>
      </c>
      <c r="F16" s="520">
        <f>SUM(F6:F15)</f>
        <v>4083</v>
      </c>
      <c r="G16" s="521">
        <f t="shared" si="6"/>
        <v>-0.15465838509316765</v>
      </c>
      <c r="H16" s="520">
        <f>SUM(H6:H15)</f>
        <v>4080</v>
      </c>
      <c r="I16" s="521">
        <f t="shared" si="7"/>
        <v>-0.15527950310559002</v>
      </c>
      <c r="J16" s="520" t="e">
        <f>SUM(J6:J15)</f>
        <v>#REF!</v>
      </c>
      <c r="K16" s="522" t="e">
        <f t="shared" si="0"/>
        <v>#REF!</v>
      </c>
      <c r="L16" s="520">
        <f>SUM(L6:L15)</f>
        <v>3360</v>
      </c>
      <c r="M16" s="521">
        <f t="shared" si="1"/>
        <v>-0.30434782608695654</v>
      </c>
      <c r="N16" s="520">
        <f t="shared" ref="N16" si="9">SUM(N6:N15)</f>
        <v>3532</v>
      </c>
      <c r="O16" s="521">
        <f t="shared" si="2"/>
        <v>-0.26873706004140785</v>
      </c>
      <c r="P16" s="520">
        <f t="shared" ref="P16" si="10">SUM(P6:P15)</f>
        <v>4132</v>
      </c>
      <c r="Q16" s="521">
        <f t="shared" si="3"/>
        <v>-0.14451345755693579</v>
      </c>
      <c r="R16" s="520">
        <f>SUM(R6:R15)</f>
        <v>11024</v>
      </c>
      <c r="S16" s="522">
        <f t="shared" si="4"/>
        <v>-0.23919944789510006</v>
      </c>
    </row>
    <row r="17" spans="1:19" x14ac:dyDescent="0.25">
      <c r="A17" s="33" t="s">
        <v>198</v>
      </c>
      <c r="B17" s="680" t="s">
        <v>199</v>
      </c>
      <c r="C17" s="680"/>
      <c r="D17" s="680"/>
      <c r="E17" s="680"/>
      <c r="F17" s="680"/>
      <c r="G17" s="680"/>
      <c r="H17" s="681"/>
      <c r="I17" s="681"/>
      <c r="J17" s="680"/>
      <c r="K17" s="680"/>
      <c r="L17" s="680"/>
      <c r="M17" s="680"/>
    </row>
    <row r="18" spans="1:19" ht="15" customHeight="1" x14ac:dyDescent="0.25">
      <c r="A18" s="33"/>
      <c r="B18" s="49" t="s">
        <v>203</v>
      </c>
      <c r="C18" s="538">
        <v>120</v>
      </c>
      <c r="D18" s="508">
        <f>'AMA E ISOLINA MAZZEI'!G22</f>
        <v>140</v>
      </c>
      <c r="E18" s="46">
        <f t="shared" ref="E18:E26" si="11">((D18/$C18))-1</f>
        <v>0.16666666666666674</v>
      </c>
      <c r="F18" s="508">
        <f>'AMA E ISOLINA MAZZEI'!I22</f>
        <v>36</v>
      </c>
      <c r="G18" s="46">
        <f t="shared" ref="G18:G52" si="12">((F18/$C18))-1</f>
        <v>-0.7</v>
      </c>
      <c r="H18" s="508">
        <f>'AMA E ISOLINA MAZZEI'!K22</f>
        <v>123</v>
      </c>
      <c r="I18" s="46">
        <f>((H18/$C18))-1</f>
        <v>2.4999999999999911E-2</v>
      </c>
      <c r="J18" s="523" t="e">
        <f>'AMA E ISOLINA MAZZEI'!#REF!</f>
        <v>#REF!</v>
      </c>
      <c r="K18" s="47" t="e">
        <f t="shared" ref="K18:K24" si="13">((J18/(C18*3)))-1</f>
        <v>#REF!</v>
      </c>
      <c r="L18" s="508">
        <f>'AMA E ISOLINA MAZZEI'!M22</f>
        <v>117</v>
      </c>
      <c r="M18" s="46">
        <f t="shared" ref="M18:M52" si="14">((L18/$C18))-1</f>
        <v>-2.5000000000000022E-2</v>
      </c>
      <c r="N18" s="508">
        <f>'AMA E ISOLINA MAZZEI'!O22</f>
        <v>129</v>
      </c>
      <c r="O18" s="46">
        <f t="shared" ref="O18:O24" si="15">((N18/$C18))-1</f>
        <v>7.4999999999999956E-2</v>
      </c>
      <c r="P18" s="508">
        <f>'AMA E ISOLINA MAZZEI'!Q22</f>
        <v>142</v>
      </c>
      <c r="Q18" s="46">
        <f t="shared" ref="Q18:Q24" si="16">((P18/$C18))-1</f>
        <v>0.18333333333333335</v>
      </c>
      <c r="R18" s="523">
        <f>SUM(L18,N18,P18)</f>
        <v>388</v>
      </c>
      <c r="S18" s="47">
        <f t="shared" ref="S18:S24" si="17">((R18/(C18*3)))-1</f>
        <v>7.7777777777777724E-2</v>
      </c>
    </row>
    <row r="19" spans="1:19" ht="15" customHeight="1" x14ac:dyDescent="0.25">
      <c r="A19" s="33"/>
      <c r="B19" s="49" t="s">
        <v>202</v>
      </c>
      <c r="C19" s="538">
        <v>140</v>
      </c>
      <c r="D19" s="508">
        <f>'AMA E ISOLINA MAZZEI'!G23</f>
        <v>175</v>
      </c>
      <c r="E19" s="46">
        <f t="shared" si="11"/>
        <v>0.25</v>
      </c>
      <c r="F19" s="508">
        <f>'AMA E ISOLINA MAZZEI'!I23</f>
        <v>152</v>
      </c>
      <c r="G19" s="46">
        <f t="shared" si="12"/>
        <v>8.5714285714285632E-2</v>
      </c>
      <c r="H19" s="508">
        <f>'AMA E ISOLINA MAZZEI'!K23</f>
        <v>169</v>
      </c>
      <c r="I19" s="46">
        <f t="shared" ref="I19:I24" si="18">((H19/$C19))-1</f>
        <v>0.20714285714285707</v>
      </c>
      <c r="J19" s="523" t="e">
        <f>'AMA E ISOLINA MAZZEI'!#REF!</f>
        <v>#REF!</v>
      </c>
      <c r="K19" s="47" t="e">
        <f t="shared" si="13"/>
        <v>#REF!</v>
      </c>
      <c r="L19" s="508">
        <f>'AMA E ISOLINA MAZZEI'!M23</f>
        <v>154</v>
      </c>
      <c r="M19" s="46">
        <f t="shared" si="14"/>
        <v>0.10000000000000009</v>
      </c>
      <c r="N19" s="508">
        <f>'AMA E ISOLINA MAZZEI'!O23</f>
        <v>147</v>
      </c>
      <c r="O19" s="46">
        <f t="shared" si="15"/>
        <v>5.0000000000000044E-2</v>
      </c>
      <c r="P19" s="508">
        <f>'AMA E ISOLINA MAZZEI'!Q23</f>
        <v>145</v>
      </c>
      <c r="Q19" s="46">
        <f t="shared" si="16"/>
        <v>3.5714285714285809E-2</v>
      </c>
      <c r="R19" s="523">
        <f t="shared" ref="R19:R52" si="19">SUM(L19,N19,P19)</f>
        <v>446</v>
      </c>
      <c r="S19" s="47">
        <f t="shared" si="17"/>
        <v>6.1904761904761907E-2</v>
      </c>
    </row>
    <row r="20" spans="1:19" ht="15" customHeight="1" x14ac:dyDescent="0.25">
      <c r="A20" s="33"/>
      <c r="B20" s="49" t="s">
        <v>201</v>
      </c>
      <c r="C20" s="538">
        <v>200</v>
      </c>
      <c r="D20" s="508">
        <f>'AMA E ISOLINA MAZZEI'!G24</f>
        <v>137</v>
      </c>
      <c r="E20" s="46">
        <f t="shared" si="11"/>
        <v>-0.31499999999999995</v>
      </c>
      <c r="F20" s="508">
        <f>'AMA E ISOLINA MAZZEI'!I24</f>
        <v>151</v>
      </c>
      <c r="G20" s="46">
        <f t="shared" si="12"/>
        <v>-0.245</v>
      </c>
      <c r="H20" s="508">
        <f>'AMA E ISOLINA MAZZEI'!K24</f>
        <v>155</v>
      </c>
      <c r="I20" s="46">
        <f t="shared" si="18"/>
        <v>-0.22499999999999998</v>
      </c>
      <c r="J20" s="523" t="e">
        <f>'AMA E ISOLINA MAZZEI'!#REF!</f>
        <v>#REF!</v>
      </c>
      <c r="K20" s="47" t="e">
        <f t="shared" si="13"/>
        <v>#REF!</v>
      </c>
      <c r="L20" s="508">
        <f>'AMA E ISOLINA MAZZEI'!M24</f>
        <v>126</v>
      </c>
      <c r="M20" s="46">
        <f t="shared" si="14"/>
        <v>-0.37</v>
      </c>
      <c r="N20" s="508">
        <f>'AMA E ISOLINA MAZZEI'!O24</f>
        <v>157</v>
      </c>
      <c r="O20" s="46">
        <f t="shared" si="15"/>
        <v>-0.21499999999999997</v>
      </c>
      <c r="P20" s="508">
        <f>'AMA E ISOLINA MAZZEI'!Q24</f>
        <v>151</v>
      </c>
      <c r="Q20" s="46">
        <f t="shared" si="16"/>
        <v>-0.245</v>
      </c>
      <c r="R20" s="523">
        <f t="shared" si="19"/>
        <v>434</v>
      </c>
      <c r="S20" s="47">
        <f t="shared" si="17"/>
        <v>-0.27666666666666662</v>
      </c>
    </row>
    <row r="21" spans="1:19" ht="15" customHeight="1" x14ac:dyDescent="0.25">
      <c r="A21" s="33"/>
      <c r="B21" s="49" t="s">
        <v>204</v>
      </c>
      <c r="C21" s="538">
        <v>150</v>
      </c>
      <c r="D21" s="508">
        <f>'AMA E ISOLINA MAZZEI'!G25</f>
        <v>126</v>
      </c>
      <c r="E21" s="46">
        <f t="shared" si="11"/>
        <v>-0.16000000000000003</v>
      </c>
      <c r="F21" s="508">
        <f>'AMA E ISOLINA MAZZEI'!I25</f>
        <v>93</v>
      </c>
      <c r="G21" s="46">
        <f t="shared" si="12"/>
        <v>-0.38</v>
      </c>
      <c r="H21" s="508">
        <f>'AMA E ISOLINA MAZZEI'!K25</f>
        <v>81</v>
      </c>
      <c r="I21" s="46">
        <f t="shared" si="18"/>
        <v>-0.45999999999999996</v>
      </c>
      <c r="J21" s="523" t="e">
        <f>'AMA E ISOLINA MAZZEI'!#REF!</f>
        <v>#REF!</v>
      </c>
      <c r="K21" s="47" t="e">
        <f t="shared" si="13"/>
        <v>#REF!</v>
      </c>
      <c r="L21" s="508">
        <f>'AMA E ISOLINA MAZZEI'!M25</f>
        <v>104</v>
      </c>
      <c r="M21" s="46">
        <f t="shared" si="14"/>
        <v>-0.30666666666666664</v>
      </c>
      <c r="N21" s="508">
        <f>'AMA E ISOLINA MAZZEI'!O25</f>
        <v>70</v>
      </c>
      <c r="O21" s="46">
        <f t="shared" si="15"/>
        <v>-0.53333333333333333</v>
      </c>
      <c r="P21" s="508">
        <f>'AMA E ISOLINA MAZZEI'!Q25</f>
        <v>71</v>
      </c>
      <c r="Q21" s="46">
        <f t="shared" si="16"/>
        <v>-0.52666666666666662</v>
      </c>
      <c r="R21" s="523">
        <f t="shared" si="19"/>
        <v>245</v>
      </c>
      <c r="S21" s="47">
        <f t="shared" si="17"/>
        <v>-0.4555555555555556</v>
      </c>
    </row>
    <row r="22" spans="1:19" ht="15" customHeight="1" x14ac:dyDescent="0.25">
      <c r="A22" s="33"/>
      <c r="B22" s="49" t="s">
        <v>205</v>
      </c>
      <c r="C22" s="538">
        <v>500</v>
      </c>
      <c r="D22" s="508">
        <f>'AMA E ISOLINA MAZZEI'!G26</f>
        <v>613</v>
      </c>
      <c r="E22" s="46">
        <f t="shared" si="11"/>
        <v>0.22599999999999998</v>
      </c>
      <c r="F22" s="508">
        <f>'AMA E ISOLINA MAZZEI'!I26</f>
        <v>480</v>
      </c>
      <c r="G22" s="46">
        <f t="shared" si="12"/>
        <v>-4.0000000000000036E-2</v>
      </c>
      <c r="H22" s="508">
        <f>'AMA E ISOLINA MAZZEI'!K26</f>
        <v>471</v>
      </c>
      <c r="I22" s="46">
        <f t="shared" si="18"/>
        <v>-5.8000000000000052E-2</v>
      </c>
      <c r="J22" s="523" t="e">
        <f>'AMA E ISOLINA MAZZEI'!#REF!</f>
        <v>#REF!</v>
      </c>
      <c r="K22" s="47" t="e">
        <f t="shared" si="13"/>
        <v>#REF!</v>
      </c>
      <c r="L22" s="508">
        <f>'AMA E ISOLINA MAZZEI'!M26</f>
        <v>398</v>
      </c>
      <c r="M22" s="46">
        <f t="shared" si="14"/>
        <v>-0.20399999999999996</v>
      </c>
      <c r="N22" s="508">
        <f>'AMA E ISOLINA MAZZEI'!O26</f>
        <v>561</v>
      </c>
      <c r="O22" s="46">
        <f t="shared" si="15"/>
        <v>0.12200000000000011</v>
      </c>
      <c r="P22" s="508">
        <f>'AMA E ISOLINA MAZZEI'!Q26</f>
        <v>799</v>
      </c>
      <c r="Q22" s="46">
        <f t="shared" si="16"/>
        <v>0.59800000000000009</v>
      </c>
      <c r="R22" s="523">
        <f t="shared" si="19"/>
        <v>1758</v>
      </c>
      <c r="S22" s="47">
        <f t="shared" si="17"/>
        <v>0.17199999999999993</v>
      </c>
    </row>
    <row r="23" spans="1:19" ht="31.5" customHeight="1" x14ac:dyDescent="0.25">
      <c r="A23" s="33"/>
      <c r="B23" s="49" t="s">
        <v>206</v>
      </c>
      <c r="C23" s="538">
        <v>300</v>
      </c>
      <c r="D23" s="508">
        <f>'AMA E ISOLINA MAZZEI'!G27</f>
        <v>320</v>
      </c>
      <c r="E23" s="46">
        <f t="shared" si="11"/>
        <v>6.6666666666666652E-2</v>
      </c>
      <c r="F23" s="508">
        <f>'AMA E ISOLINA MAZZEI'!I27</f>
        <v>325</v>
      </c>
      <c r="G23" s="46">
        <f t="shared" si="12"/>
        <v>8.3333333333333259E-2</v>
      </c>
      <c r="H23" s="508">
        <f>'AMA E ISOLINA MAZZEI'!K27</f>
        <v>300</v>
      </c>
      <c r="I23" s="46">
        <f t="shared" si="18"/>
        <v>0</v>
      </c>
      <c r="J23" s="523" t="e">
        <f>'AMA E ISOLINA MAZZEI'!#REF!</f>
        <v>#REF!</v>
      </c>
      <c r="K23" s="47" t="e">
        <f t="shared" si="13"/>
        <v>#REF!</v>
      </c>
      <c r="L23" s="508">
        <f>'AMA E ISOLINA MAZZEI'!M27</f>
        <v>290</v>
      </c>
      <c r="M23" s="46">
        <f t="shared" si="14"/>
        <v>-3.3333333333333326E-2</v>
      </c>
      <c r="N23" s="508">
        <f>'AMA E ISOLINA MAZZEI'!O27</f>
        <v>245</v>
      </c>
      <c r="O23" s="46">
        <f t="shared" si="15"/>
        <v>-0.18333333333333335</v>
      </c>
      <c r="P23" s="508">
        <f>'AMA E ISOLINA MAZZEI'!Q27</f>
        <v>296</v>
      </c>
      <c r="Q23" s="46">
        <f t="shared" si="16"/>
        <v>-1.3333333333333308E-2</v>
      </c>
      <c r="R23" s="523">
        <f t="shared" si="19"/>
        <v>831</v>
      </c>
      <c r="S23" s="47">
        <f t="shared" si="17"/>
        <v>-7.6666666666666661E-2</v>
      </c>
    </row>
    <row r="24" spans="1:19" ht="15" customHeight="1" x14ac:dyDescent="0.25">
      <c r="A24" s="33"/>
      <c r="B24" s="49" t="s">
        <v>200</v>
      </c>
      <c r="C24" s="538">
        <v>260</v>
      </c>
      <c r="D24" s="508">
        <f>'AMA E ISOLINA MAZZEI'!G28</f>
        <v>187</v>
      </c>
      <c r="E24" s="46">
        <f t="shared" si="11"/>
        <v>-0.28076923076923077</v>
      </c>
      <c r="F24" s="508">
        <f>'AMA E ISOLINA MAZZEI'!I28</f>
        <v>109</v>
      </c>
      <c r="G24" s="46">
        <f t="shared" si="12"/>
        <v>-0.5807692307692307</v>
      </c>
      <c r="H24" s="508">
        <f>'AMA E ISOLINA MAZZEI'!K28</f>
        <v>187</v>
      </c>
      <c r="I24" s="46">
        <f t="shared" si="18"/>
        <v>-0.28076923076923077</v>
      </c>
      <c r="J24" s="523" t="e">
        <f>'AMA E ISOLINA MAZZEI'!#REF!</f>
        <v>#REF!</v>
      </c>
      <c r="K24" s="47" t="e">
        <f t="shared" si="13"/>
        <v>#REF!</v>
      </c>
      <c r="L24" s="508">
        <f>'AMA E ISOLINA MAZZEI'!M28</f>
        <v>223</v>
      </c>
      <c r="M24" s="46">
        <f t="shared" si="14"/>
        <v>-0.14230769230769236</v>
      </c>
      <c r="N24" s="508">
        <f>'AMA E ISOLINA MAZZEI'!O28</f>
        <v>254</v>
      </c>
      <c r="O24" s="46">
        <f t="shared" si="15"/>
        <v>-2.3076923076923106E-2</v>
      </c>
      <c r="P24" s="508">
        <f>'AMA E ISOLINA MAZZEI'!Q28</f>
        <v>194</v>
      </c>
      <c r="Q24" s="46">
        <f t="shared" si="16"/>
        <v>-0.25384615384615383</v>
      </c>
      <c r="R24" s="523">
        <f t="shared" si="19"/>
        <v>671</v>
      </c>
      <c r="S24" s="47">
        <f t="shared" si="17"/>
        <v>-0.13974358974358969</v>
      </c>
    </row>
    <row r="25" spans="1:19" x14ac:dyDescent="0.25">
      <c r="A25" s="33"/>
      <c r="B25" s="680" t="s">
        <v>207</v>
      </c>
      <c r="C25" s="680"/>
      <c r="D25" s="680"/>
      <c r="E25" s="680"/>
      <c r="F25" s="680"/>
      <c r="G25" s="680"/>
      <c r="H25" s="681"/>
      <c r="I25" s="681"/>
      <c r="J25" s="680"/>
      <c r="K25" s="680"/>
      <c r="L25" s="680"/>
      <c r="M25" s="680"/>
    </row>
    <row r="26" spans="1:19" ht="15" customHeight="1" x14ac:dyDescent="0.25">
      <c r="A26" s="41" t="s">
        <v>208</v>
      </c>
      <c r="B26" s="49" t="s">
        <v>209</v>
      </c>
      <c r="C26" s="540">
        <v>155</v>
      </c>
      <c r="D26" s="510">
        <f>'CAPS INF II VM-VG'!G7</f>
        <v>396</v>
      </c>
      <c r="E26" s="46">
        <f t="shared" si="11"/>
        <v>1.5548387096774192</v>
      </c>
      <c r="F26" s="510">
        <f>'CAPS INF II VM-VG'!I7</f>
        <v>392</v>
      </c>
      <c r="G26" s="46">
        <f t="shared" si="12"/>
        <v>1.5290322580645159</v>
      </c>
      <c r="H26" s="510">
        <f>'CAPS INF II VM-VG'!K7</f>
        <v>402</v>
      </c>
      <c r="I26" s="46">
        <f t="shared" ref="I26" si="20">((H26/$C26))-1</f>
        <v>1.5935483870967744</v>
      </c>
      <c r="J26" s="523" t="e">
        <f>'CAPS INF II VM-VG'!#REF!</f>
        <v>#REF!</v>
      </c>
      <c r="K26" s="47" t="e">
        <f>((J26/(C26*3)))-1</f>
        <v>#REF!</v>
      </c>
      <c r="L26" s="510">
        <f>'CAPS INF II VM-VG'!M7</f>
        <v>410</v>
      </c>
      <c r="M26" s="46">
        <f t="shared" si="14"/>
        <v>1.6451612903225805</v>
      </c>
      <c r="N26" s="510">
        <f>'CAPS INF II VM-VG'!$O$7</f>
        <v>398</v>
      </c>
      <c r="O26" s="46">
        <f t="shared" ref="O26" si="21">((N26/$C26))-1</f>
        <v>1.5677419354838711</v>
      </c>
      <c r="P26" s="510">
        <f>'CAPS INF II VM-VG'!$Q$7</f>
        <v>408</v>
      </c>
      <c r="Q26" s="46">
        <f t="shared" ref="Q26" si="22">((P26/$C26))-1</f>
        <v>1.6322580645161291</v>
      </c>
      <c r="R26" s="523">
        <f t="shared" si="19"/>
        <v>1216</v>
      </c>
      <c r="S26" s="47">
        <f>((R26/(C26*3)))-1</f>
        <v>1.6150537634408604</v>
      </c>
    </row>
    <row r="27" spans="1:19" x14ac:dyDescent="0.25">
      <c r="A27" s="33"/>
      <c r="B27" s="680" t="s">
        <v>210</v>
      </c>
      <c r="C27" s="680"/>
      <c r="D27" s="680"/>
      <c r="E27" s="680"/>
      <c r="F27" s="680"/>
      <c r="G27" s="680"/>
      <c r="H27" s="681"/>
      <c r="I27" s="681"/>
      <c r="J27" s="680"/>
      <c r="K27" s="680"/>
      <c r="L27" s="680"/>
      <c r="M27" s="680"/>
    </row>
    <row r="28" spans="1:19" ht="15" customHeight="1" x14ac:dyDescent="0.25">
      <c r="A28" s="41">
        <v>21</v>
      </c>
      <c r="B28" s="49" t="s">
        <v>211</v>
      </c>
      <c r="C28" s="540">
        <v>180</v>
      </c>
      <c r="D28" s="509">
        <f>'CER Carandiru'!G7</f>
        <v>490</v>
      </c>
      <c r="E28" s="46">
        <f>((D28/$C28))-1</f>
        <v>1.7222222222222223</v>
      </c>
      <c r="F28" s="509">
        <f>'CER Carandiru'!I7</f>
        <v>349</v>
      </c>
      <c r="G28" s="46">
        <f t="shared" si="12"/>
        <v>0.93888888888888888</v>
      </c>
      <c r="H28" s="509">
        <f>'CER Carandiru'!K7</f>
        <v>322</v>
      </c>
      <c r="I28" s="46">
        <f t="shared" ref="I28:I29" si="23">((H28/$C28))-1</f>
        <v>0.78888888888888897</v>
      </c>
      <c r="J28" s="525" t="e">
        <f>'CER Carandiru'!#REF!</f>
        <v>#REF!</v>
      </c>
      <c r="K28" s="47" t="e">
        <f>((J28/(C28*3)))-1</f>
        <v>#REF!</v>
      </c>
      <c r="L28" s="509">
        <f>'CER Carandiru'!M7</f>
        <v>230</v>
      </c>
      <c r="M28" s="46">
        <f t="shared" si="14"/>
        <v>0.27777777777777768</v>
      </c>
      <c r="N28" s="509">
        <f>'CER Carandiru'!O7</f>
        <v>155</v>
      </c>
      <c r="O28" s="46">
        <f t="shared" ref="O28:O29" si="24">((N28/$C28))-1</f>
        <v>-0.13888888888888884</v>
      </c>
      <c r="P28" s="509">
        <f>'CER Carandiru'!Q7</f>
        <v>478</v>
      </c>
      <c r="Q28" s="46">
        <f t="shared" ref="Q28:Q29" si="25">((P28/$C28))-1</f>
        <v>1.6555555555555554</v>
      </c>
      <c r="R28" s="523">
        <f t="shared" si="19"/>
        <v>863</v>
      </c>
      <c r="S28" s="47">
        <f>((R28/(C28*3)))-1</f>
        <v>0.5981481481481481</v>
      </c>
    </row>
    <row r="29" spans="1:19" ht="35.25" customHeight="1" x14ac:dyDescent="0.25">
      <c r="A29" s="41">
        <v>10</v>
      </c>
      <c r="B29" s="49" t="s">
        <v>212</v>
      </c>
      <c r="C29" s="540">
        <v>490</v>
      </c>
      <c r="D29" s="509">
        <f>'CER Carandiru'!G8</f>
        <v>1123</v>
      </c>
      <c r="E29" s="46">
        <f t="shared" ref="E29:E35" si="26">((D29/$C29))-1</f>
        <v>1.2918367346938777</v>
      </c>
      <c r="F29" s="509">
        <f>'CER Carandiru'!I8</f>
        <v>964</v>
      </c>
      <c r="G29" s="46">
        <f t="shared" si="12"/>
        <v>0.96734693877551026</v>
      </c>
      <c r="H29" s="509">
        <f>'CER Carandiru'!K8</f>
        <v>957</v>
      </c>
      <c r="I29" s="46">
        <f t="shared" si="23"/>
        <v>0.95306122448979602</v>
      </c>
      <c r="J29" s="525" t="e">
        <f>'CER Carandiru'!#REF!</f>
        <v>#REF!</v>
      </c>
      <c r="K29" s="47" t="e">
        <f>((J29/(C29*3)))-1</f>
        <v>#REF!</v>
      </c>
      <c r="L29" s="509">
        <f>'CER Carandiru'!M8</f>
        <v>974</v>
      </c>
      <c r="M29" s="46">
        <f t="shared" si="14"/>
        <v>0.9877551020408164</v>
      </c>
      <c r="N29" s="509">
        <f>'CER Carandiru'!O8</f>
        <v>693</v>
      </c>
      <c r="O29" s="46">
        <f t="shared" si="24"/>
        <v>0.41428571428571437</v>
      </c>
      <c r="P29" s="509">
        <f>'CER Carandiru'!Q8</f>
        <v>1140</v>
      </c>
      <c r="Q29" s="46">
        <f t="shared" si="25"/>
        <v>1.3265306122448979</v>
      </c>
      <c r="R29" s="523">
        <f t="shared" si="19"/>
        <v>2807</v>
      </c>
      <c r="S29" s="47">
        <f>((R29/(C29*3)))-1</f>
        <v>0.90952380952380962</v>
      </c>
    </row>
    <row r="30" spans="1:19" ht="35.25" customHeight="1" x14ac:dyDescent="0.25">
      <c r="A30" s="41"/>
      <c r="B30" s="680" t="s">
        <v>347</v>
      </c>
      <c r="C30" s="680"/>
      <c r="D30" s="680"/>
      <c r="E30" s="680"/>
      <c r="F30" s="680"/>
      <c r="G30" s="680"/>
      <c r="H30" s="681"/>
      <c r="I30" s="681"/>
      <c r="J30" s="680"/>
      <c r="K30" s="680"/>
      <c r="L30" s="680"/>
      <c r="M30" s="680"/>
    </row>
    <row r="31" spans="1:19" ht="35.25" customHeight="1" x14ac:dyDescent="0.25">
      <c r="A31" s="41"/>
      <c r="B31" s="49" t="s">
        <v>268</v>
      </c>
      <c r="C31" s="540">
        <v>70</v>
      </c>
      <c r="D31" s="509">
        <f>'APD no CER III Carandiru'!G7</f>
        <v>17</v>
      </c>
      <c r="E31" s="46">
        <f t="shared" si="26"/>
        <v>-0.75714285714285712</v>
      </c>
      <c r="F31" s="509">
        <f>'APD no CER III Carandiru'!I7</f>
        <v>18</v>
      </c>
      <c r="G31" s="46">
        <f t="shared" si="12"/>
        <v>-0.74285714285714288</v>
      </c>
      <c r="H31" s="509">
        <f>'APD no CER III Carandiru'!K7</f>
        <v>19</v>
      </c>
      <c r="I31" s="46">
        <f t="shared" ref="I31" si="27">((H31/$C31))-1</f>
        <v>-0.72857142857142865</v>
      </c>
      <c r="J31" s="525" t="e">
        <f>'APD no CER III Carandiru'!#REF!</f>
        <v>#REF!</v>
      </c>
      <c r="K31" s="47" t="e">
        <f>((J31/(C31*3)))-1</f>
        <v>#REF!</v>
      </c>
      <c r="L31" s="509">
        <f>'APD no CER III Carandiru'!M7</f>
        <v>20</v>
      </c>
      <c r="M31" s="46">
        <f t="shared" si="14"/>
        <v>-0.7142857142857143</v>
      </c>
      <c r="N31" s="509">
        <f>'APD no CER III Carandiru'!$O$7</f>
        <v>20</v>
      </c>
      <c r="O31" s="46">
        <f t="shared" ref="O31" si="28">((N31/$C31))-1</f>
        <v>-0.7142857142857143</v>
      </c>
      <c r="P31" s="509">
        <f>'APD no CER III Carandiru'!Q7</f>
        <v>31</v>
      </c>
      <c r="Q31" s="46">
        <f t="shared" ref="Q31" si="29">((P31/$C31))-1</f>
        <v>-0.55714285714285716</v>
      </c>
      <c r="R31" s="523">
        <f t="shared" si="19"/>
        <v>71</v>
      </c>
      <c r="S31" s="47">
        <f>((R31/(C31*3)))-1</f>
        <v>-0.66190476190476188</v>
      </c>
    </row>
    <row r="32" spans="1:19" x14ac:dyDescent="0.25">
      <c r="A32" s="33"/>
      <c r="B32" s="680" t="s">
        <v>213</v>
      </c>
      <c r="C32" s="680"/>
      <c r="D32" s="680"/>
      <c r="E32" s="680"/>
      <c r="F32" s="680"/>
      <c r="G32" s="680"/>
      <c r="H32" s="681"/>
      <c r="I32" s="681"/>
      <c r="J32" s="680"/>
      <c r="K32" s="680"/>
      <c r="L32" s="680"/>
      <c r="M32" s="680"/>
    </row>
    <row r="33" spans="1:19" ht="15" customHeight="1" x14ac:dyDescent="0.25">
      <c r="A33" s="41">
        <v>8</v>
      </c>
      <c r="B33" s="49" t="s">
        <v>214</v>
      </c>
      <c r="C33" s="540">
        <v>60</v>
      </c>
      <c r="D33" s="510">
        <f>'EMAD na UBS JD JAPÃO'!G11</f>
        <v>64</v>
      </c>
      <c r="E33" s="46">
        <f t="shared" si="26"/>
        <v>6.6666666666666652E-2</v>
      </c>
      <c r="F33" s="510">
        <f>'EMAD na UBS JD JAPÃO'!I11</f>
        <v>59</v>
      </c>
      <c r="G33" s="46">
        <f t="shared" si="12"/>
        <v>-1.6666666666666718E-2</v>
      </c>
      <c r="H33" s="510">
        <f>'EMAD na UBS JD JAPÃO'!K11</f>
        <v>60</v>
      </c>
      <c r="I33" s="46">
        <f t="shared" ref="I33" si="30">((H33/$C33))-1</f>
        <v>0</v>
      </c>
      <c r="J33" s="523" t="e">
        <f>'EMAD na UBS JD JAPÃO'!#REF!</f>
        <v>#REF!</v>
      </c>
      <c r="K33" s="47" t="e">
        <f>((J33/(C33*3)))-1</f>
        <v>#REF!</v>
      </c>
      <c r="L33" s="510">
        <f>'EMAD na UBS JD JAPÃO'!M11</f>
        <v>57</v>
      </c>
      <c r="M33" s="46">
        <f t="shared" si="14"/>
        <v>-5.0000000000000044E-2</v>
      </c>
      <c r="N33" s="510">
        <f>'EMAD na UBS JD JAPÃO'!$O$11</f>
        <v>62</v>
      </c>
      <c r="O33" s="46">
        <f t="shared" ref="O33" si="31">((N33/$C33))-1</f>
        <v>3.3333333333333437E-2</v>
      </c>
      <c r="P33" s="510">
        <f>'EMAD na UBS JD JAPÃO'!Q11</f>
        <v>61</v>
      </c>
      <c r="Q33" s="46">
        <f t="shared" ref="Q33" si="32">((P33/$C33))-1</f>
        <v>1.6666666666666607E-2</v>
      </c>
      <c r="R33" s="523">
        <f t="shared" si="19"/>
        <v>180</v>
      </c>
      <c r="S33" s="47">
        <f>((R33/(C33*3)))-1</f>
        <v>0</v>
      </c>
    </row>
    <row r="34" spans="1:19" ht="15" customHeight="1" x14ac:dyDescent="0.25">
      <c r="A34" s="35" t="s">
        <v>215</v>
      </c>
      <c r="B34" s="680" t="s">
        <v>216</v>
      </c>
      <c r="C34" s="680"/>
      <c r="D34" s="680"/>
      <c r="E34" s="680"/>
      <c r="F34" s="680"/>
      <c r="G34" s="680"/>
      <c r="H34" s="681"/>
      <c r="I34" s="681"/>
      <c r="J34" s="680"/>
      <c r="K34" s="680"/>
      <c r="L34" s="680"/>
      <c r="M34" s="680"/>
    </row>
    <row r="35" spans="1:19" ht="15" customHeight="1" x14ac:dyDescent="0.25">
      <c r="A35" s="35">
        <v>2</v>
      </c>
      <c r="B35" s="49" t="s">
        <v>217</v>
      </c>
      <c r="C35" s="538">
        <v>90</v>
      </c>
      <c r="D35" s="508">
        <f>'CEO II V GUILHERME'!G7</f>
        <v>396</v>
      </c>
      <c r="E35" s="46">
        <f t="shared" si="26"/>
        <v>3.4000000000000004</v>
      </c>
      <c r="F35" s="508">
        <f>'CEO II V GUILHERME'!I7</f>
        <v>223</v>
      </c>
      <c r="G35" s="46">
        <f t="shared" si="12"/>
        <v>1.4777777777777779</v>
      </c>
      <c r="H35" s="508">
        <f>'CEO II V GUILHERME'!K7</f>
        <v>304</v>
      </c>
      <c r="I35" s="46">
        <f t="shared" ref="I35" si="33">((H35/$C35))-1</f>
        <v>2.3777777777777778</v>
      </c>
      <c r="J35" s="523" t="e">
        <f>'CEO II V GUILHERME'!#REF!</f>
        <v>#REF!</v>
      </c>
      <c r="K35" s="47" t="e">
        <f>((J35/(C35*3)))-1</f>
        <v>#REF!</v>
      </c>
      <c r="L35" s="508">
        <f>'CEO II V GUILHERME'!M7</f>
        <v>298</v>
      </c>
      <c r="M35" s="46">
        <f t="shared" si="14"/>
        <v>2.3111111111111109</v>
      </c>
      <c r="N35" s="508">
        <f>'CEO II V GUILHERME'!O7</f>
        <v>359</v>
      </c>
      <c r="O35" s="46">
        <f t="shared" ref="O35" si="34">((N35/$C35))-1</f>
        <v>2.9888888888888889</v>
      </c>
      <c r="P35" s="508">
        <f>'CEO II V GUILHERME'!Q7</f>
        <v>289</v>
      </c>
      <c r="Q35" s="46">
        <f t="shared" ref="Q35" si="35">((P35/$C35))-1</f>
        <v>2.2111111111111112</v>
      </c>
      <c r="R35" s="523">
        <f>SUM(L35,N35,P35)</f>
        <v>946</v>
      </c>
      <c r="S35" s="47">
        <f>((R35/(C35*3)))-1</f>
        <v>2.5037037037037035</v>
      </c>
    </row>
    <row r="36" spans="1:19" ht="15" customHeight="1" x14ac:dyDescent="0.25">
      <c r="A36" s="35">
        <v>1</v>
      </c>
      <c r="B36" s="49" t="s">
        <v>221</v>
      </c>
      <c r="C36" s="538" t="s">
        <v>222</v>
      </c>
      <c r="D36" s="508">
        <f>'CEO II V GUILHERME'!G8</f>
        <v>76</v>
      </c>
      <c r="E36" s="47"/>
      <c r="F36" s="508">
        <f>'CEO II V GUILHERME'!I8</f>
        <v>55</v>
      </c>
      <c r="G36" s="47"/>
      <c r="H36" s="508">
        <f>'CEO II V GUILHERME'!K8</f>
        <v>67</v>
      </c>
      <c r="I36" s="47"/>
      <c r="J36" s="523" t="e">
        <f>'CEO II V GUILHERME'!#REF!</f>
        <v>#REF!</v>
      </c>
      <c r="K36" s="47"/>
      <c r="L36" s="508">
        <f>'CEO II V GUILHERME'!M8</f>
        <v>91</v>
      </c>
      <c r="M36" s="47"/>
      <c r="N36" s="508">
        <f>'CEO II V GUILHERME'!O8</f>
        <v>84</v>
      </c>
      <c r="O36" s="47"/>
      <c r="P36" s="508">
        <f>'CEO II V GUILHERME'!Q8</f>
        <v>59</v>
      </c>
      <c r="Q36" s="47"/>
      <c r="R36" s="523">
        <f t="shared" si="19"/>
        <v>234</v>
      </c>
      <c r="S36" s="47"/>
    </row>
    <row r="37" spans="1:19" ht="15" customHeight="1" x14ac:dyDescent="0.25">
      <c r="A37" s="35">
        <v>1</v>
      </c>
      <c r="B37" s="49" t="s">
        <v>218</v>
      </c>
      <c r="C37" s="538">
        <v>90</v>
      </c>
      <c r="D37" s="508">
        <f>'CEO II V GUILHERME'!G9</f>
        <v>56</v>
      </c>
      <c r="E37" s="46">
        <f t="shared" ref="E37:E52" si="36">((D37/$C37))-1</f>
        <v>-0.37777777777777777</v>
      </c>
      <c r="F37" s="508">
        <f>'CEO II V GUILHERME'!I9</f>
        <v>101</v>
      </c>
      <c r="G37" s="46">
        <f t="shared" si="12"/>
        <v>0.12222222222222223</v>
      </c>
      <c r="H37" s="508">
        <f>'CEO II V GUILHERME'!K9</f>
        <v>54</v>
      </c>
      <c r="I37" s="46">
        <f t="shared" ref="I37:I42" si="37">((H37/$C37))-1</f>
        <v>-0.4</v>
      </c>
      <c r="J37" s="523" t="e">
        <f>'CEO II V GUILHERME'!#REF!</f>
        <v>#REF!</v>
      </c>
      <c r="K37" s="47" t="e">
        <f t="shared" ref="K37:K42" si="38">((J37/(C37*3)))-1</f>
        <v>#REF!</v>
      </c>
      <c r="L37" s="508">
        <f>'CEO II V GUILHERME'!M9</f>
        <v>131</v>
      </c>
      <c r="M37" s="46">
        <f t="shared" si="14"/>
        <v>0.45555555555555549</v>
      </c>
      <c r="N37" s="508">
        <f>'CEO II V GUILHERME'!O9</f>
        <v>90</v>
      </c>
      <c r="O37" s="46">
        <f t="shared" ref="O37:O42" si="39">((N37/$C37))-1</f>
        <v>0</v>
      </c>
      <c r="P37" s="508">
        <f>'CEO II V GUILHERME'!Q9</f>
        <v>160</v>
      </c>
      <c r="Q37" s="46">
        <f t="shared" ref="Q37:Q42" si="40">((P37/$C37))-1</f>
        <v>0.77777777777777768</v>
      </c>
      <c r="R37" s="523">
        <f t="shared" si="19"/>
        <v>381</v>
      </c>
      <c r="S37" s="47">
        <f t="shared" ref="S37:S42" si="41">((R37/(C37*3)))-1</f>
        <v>0.4111111111111112</v>
      </c>
    </row>
    <row r="38" spans="1:19" ht="15" customHeight="1" x14ac:dyDescent="0.25">
      <c r="A38" s="35">
        <v>3</v>
      </c>
      <c r="B38" s="49" t="s">
        <v>219</v>
      </c>
      <c r="C38" s="538">
        <v>60</v>
      </c>
      <c r="D38" s="508">
        <f>'CEO II V GUILHERME'!G10</f>
        <v>83</v>
      </c>
      <c r="E38" s="46">
        <f t="shared" si="36"/>
        <v>0.3833333333333333</v>
      </c>
      <c r="F38" s="508">
        <f>'CEO II V GUILHERME'!I10</f>
        <v>54</v>
      </c>
      <c r="G38" s="46">
        <f t="shared" si="12"/>
        <v>-9.9999999999999978E-2</v>
      </c>
      <c r="H38" s="508">
        <f>'CEO II V GUILHERME'!K10</f>
        <v>69</v>
      </c>
      <c r="I38" s="46">
        <f t="shared" si="37"/>
        <v>0.14999999999999991</v>
      </c>
      <c r="J38" s="523" t="e">
        <f>'CEO II V GUILHERME'!#REF!</f>
        <v>#REF!</v>
      </c>
      <c r="K38" s="47" t="e">
        <f t="shared" si="38"/>
        <v>#REF!</v>
      </c>
      <c r="L38" s="508">
        <f>'CEO II V GUILHERME'!M10</f>
        <v>104</v>
      </c>
      <c r="M38" s="46">
        <f t="shared" si="14"/>
        <v>0.73333333333333339</v>
      </c>
      <c r="N38" s="508">
        <f>'CEO II V GUILHERME'!O10</f>
        <v>147</v>
      </c>
      <c r="O38" s="46">
        <f t="shared" si="39"/>
        <v>1.4500000000000002</v>
      </c>
      <c r="P38" s="508">
        <f>'CEO II V GUILHERME'!Q10</f>
        <v>127</v>
      </c>
      <c r="Q38" s="46">
        <f t="shared" si="40"/>
        <v>1.1166666666666667</v>
      </c>
      <c r="R38" s="523">
        <f t="shared" si="19"/>
        <v>378</v>
      </c>
      <c r="S38" s="47">
        <f t="shared" si="41"/>
        <v>1.1000000000000001</v>
      </c>
    </row>
    <row r="39" spans="1:19" ht="15" customHeight="1" x14ac:dyDescent="0.25">
      <c r="A39" s="35">
        <v>2</v>
      </c>
      <c r="B39" s="49" t="s">
        <v>220</v>
      </c>
      <c r="C39" s="538">
        <v>126</v>
      </c>
      <c r="D39" s="508">
        <f>'CEO II V GUILHERME'!G11</f>
        <v>319</v>
      </c>
      <c r="E39" s="46">
        <f t="shared" si="36"/>
        <v>1.5317460317460316</v>
      </c>
      <c r="F39" s="508">
        <f>'CEO II V GUILHERME'!I11</f>
        <v>238</v>
      </c>
      <c r="G39" s="46">
        <f t="shared" si="12"/>
        <v>0.88888888888888884</v>
      </c>
      <c r="H39" s="508">
        <f>'CEO II V GUILHERME'!K11</f>
        <v>108</v>
      </c>
      <c r="I39" s="46">
        <f t="shared" si="37"/>
        <v>-0.1428571428571429</v>
      </c>
      <c r="J39" s="523" t="e">
        <f>'CEO II V GUILHERME'!#REF!</f>
        <v>#REF!</v>
      </c>
      <c r="K39" s="47" t="e">
        <f t="shared" si="38"/>
        <v>#REF!</v>
      </c>
      <c r="L39" s="508">
        <f>'CEO II V GUILHERME'!M11</f>
        <v>164</v>
      </c>
      <c r="M39" s="46">
        <f t="shared" si="14"/>
        <v>0.30158730158730163</v>
      </c>
      <c r="N39" s="508">
        <f>'CEO II V GUILHERME'!O11</f>
        <v>55</v>
      </c>
      <c r="O39" s="46">
        <f t="shared" si="39"/>
        <v>-0.56349206349206349</v>
      </c>
      <c r="P39" s="508">
        <f>'CEO II V GUILHERME'!Q11</f>
        <v>364</v>
      </c>
      <c r="Q39" s="46">
        <f t="shared" si="40"/>
        <v>1.8888888888888888</v>
      </c>
      <c r="R39" s="523">
        <f t="shared" si="19"/>
        <v>583</v>
      </c>
      <c r="S39" s="47">
        <f t="shared" si="41"/>
        <v>0.54232804232804233</v>
      </c>
    </row>
    <row r="40" spans="1:19" ht="15" customHeight="1" x14ac:dyDescent="0.25">
      <c r="A40" s="35">
        <v>2</v>
      </c>
      <c r="B40" s="49" t="s">
        <v>223</v>
      </c>
      <c r="C40" s="538">
        <v>120</v>
      </c>
      <c r="D40" s="508">
        <f>'CEO II V GUILHERME'!G12</f>
        <v>400</v>
      </c>
      <c r="E40" s="46">
        <f t="shared" si="36"/>
        <v>2.3333333333333335</v>
      </c>
      <c r="F40" s="508">
        <f>'CEO II V GUILHERME'!I12</f>
        <v>349</v>
      </c>
      <c r="G40" s="46">
        <f t="shared" si="12"/>
        <v>1.9083333333333332</v>
      </c>
      <c r="H40" s="508">
        <f>'CEO II V GUILHERME'!K12</f>
        <v>340</v>
      </c>
      <c r="I40" s="46">
        <f t="shared" si="37"/>
        <v>1.8333333333333335</v>
      </c>
      <c r="J40" s="523" t="e">
        <f>'CEO II V GUILHERME'!#REF!</f>
        <v>#REF!</v>
      </c>
      <c r="K40" s="47" t="e">
        <f t="shared" si="38"/>
        <v>#REF!</v>
      </c>
      <c r="L40" s="508">
        <f>'CEO II V GUILHERME'!M12</f>
        <v>474</v>
      </c>
      <c r="M40" s="46">
        <f t="shared" si="14"/>
        <v>2.95</v>
      </c>
      <c r="N40" s="508">
        <f>'CEO II V GUILHERME'!O12</f>
        <v>316</v>
      </c>
      <c r="O40" s="46">
        <f t="shared" si="39"/>
        <v>1.6333333333333333</v>
      </c>
      <c r="P40" s="508">
        <f>'CEO II V GUILHERME'!Q12</f>
        <v>368</v>
      </c>
      <c r="Q40" s="46">
        <f t="shared" si="40"/>
        <v>2.0666666666666669</v>
      </c>
      <c r="R40" s="523">
        <f t="shared" si="19"/>
        <v>1158</v>
      </c>
      <c r="S40" s="47">
        <f t="shared" si="41"/>
        <v>2.2166666666666668</v>
      </c>
    </row>
    <row r="41" spans="1:19" ht="15" customHeight="1" x14ac:dyDescent="0.25">
      <c r="A41" s="35">
        <v>1</v>
      </c>
      <c r="B41" s="49" t="s">
        <v>224</v>
      </c>
      <c r="C41" s="538">
        <v>120</v>
      </c>
      <c r="D41" s="508">
        <f>'CEO II V GUILHERME'!G13</f>
        <v>68</v>
      </c>
      <c r="E41" s="46">
        <f t="shared" si="36"/>
        <v>-0.43333333333333335</v>
      </c>
      <c r="F41" s="508">
        <f>'CEO II V GUILHERME'!I13</f>
        <v>40</v>
      </c>
      <c r="G41" s="46">
        <f t="shared" si="12"/>
        <v>-0.66666666666666674</v>
      </c>
      <c r="H41" s="508">
        <f>'CEO II V GUILHERME'!K13</f>
        <v>24</v>
      </c>
      <c r="I41" s="46">
        <f t="shared" si="37"/>
        <v>-0.8</v>
      </c>
      <c r="J41" s="523" t="e">
        <f>'CEO II V GUILHERME'!#REF!</f>
        <v>#REF!</v>
      </c>
      <c r="K41" s="47" t="e">
        <f t="shared" si="38"/>
        <v>#REF!</v>
      </c>
      <c r="L41" s="508">
        <f>'CEO II V GUILHERME'!M13</f>
        <v>129</v>
      </c>
      <c r="M41" s="46">
        <f t="shared" si="14"/>
        <v>7.4999999999999956E-2</v>
      </c>
      <c r="N41" s="508">
        <f>'CEO II V GUILHERME'!O13</f>
        <v>27</v>
      </c>
      <c r="O41" s="46">
        <f t="shared" si="39"/>
        <v>-0.77500000000000002</v>
      </c>
      <c r="P41" s="508">
        <f>'CEO II V GUILHERME'!Q13</f>
        <v>71</v>
      </c>
      <c r="Q41" s="46">
        <f t="shared" si="40"/>
        <v>-0.40833333333333333</v>
      </c>
      <c r="R41" s="523">
        <f t="shared" si="19"/>
        <v>227</v>
      </c>
      <c r="S41" s="47">
        <f t="shared" si="41"/>
        <v>-0.36944444444444446</v>
      </c>
    </row>
    <row r="42" spans="1:19" ht="15" customHeight="1" x14ac:dyDescent="0.25">
      <c r="A42" s="35" t="s">
        <v>225</v>
      </c>
      <c r="B42" s="49" t="s">
        <v>226</v>
      </c>
      <c r="C42" s="538">
        <v>80</v>
      </c>
      <c r="D42" s="508">
        <f>'CEO II V GUILHERME'!G14</f>
        <v>76</v>
      </c>
      <c r="E42" s="46">
        <f t="shared" si="36"/>
        <v>-5.0000000000000044E-2</v>
      </c>
      <c r="F42" s="508">
        <f>'CEO II V GUILHERME'!I14</f>
        <v>102</v>
      </c>
      <c r="G42" s="46">
        <f t="shared" si="12"/>
        <v>0.27499999999999991</v>
      </c>
      <c r="H42" s="508">
        <f>'CEO II V GUILHERME'!K14</f>
        <v>84</v>
      </c>
      <c r="I42" s="46">
        <f t="shared" si="37"/>
        <v>5.0000000000000044E-2</v>
      </c>
      <c r="J42" s="523" t="e">
        <f>'CEO II V GUILHERME'!#REF!</f>
        <v>#REF!</v>
      </c>
      <c r="K42" s="47" t="e">
        <f t="shared" si="38"/>
        <v>#REF!</v>
      </c>
      <c r="L42" s="508">
        <f>'CEO II V GUILHERME'!M14</f>
        <v>89</v>
      </c>
      <c r="M42" s="46">
        <f t="shared" si="14"/>
        <v>0.11250000000000004</v>
      </c>
      <c r="N42" s="508">
        <f>'CEO II V GUILHERME'!O14</f>
        <v>33</v>
      </c>
      <c r="O42" s="46">
        <f t="shared" si="39"/>
        <v>-0.58750000000000002</v>
      </c>
      <c r="P42" s="508">
        <f>'CEO II V GUILHERME'!Q14</f>
        <v>99</v>
      </c>
      <c r="Q42" s="46">
        <f t="shared" si="40"/>
        <v>0.23750000000000004</v>
      </c>
      <c r="R42" s="523">
        <f t="shared" si="19"/>
        <v>221</v>
      </c>
      <c r="S42" s="47">
        <f t="shared" si="41"/>
        <v>-7.9166666666666718E-2</v>
      </c>
    </row>
    <row r="43" spans="1:19" x14ac:dyDescent="0.25">
      <c r="A43" s="37" t="s">
        <v>227</v>
      </c>
      <c r="B43" s="680" t="s">
        <v>228</v>
      </c>
      <c r="C43" s="680"/>
      <c r="D43" s="680"/>
      <c r="E43" s="680"/>
      <c r="F43" s="680"/>
      <c r="G43" s="680"/>
      <c r="H43" s="681"/>
      <c r="I43" s="681"/>
      <c r="J43" s="680"/>
      <c r="K43" s="680"/>
      <c r="L43" s="680"/>
      <c r="M43" s="680"/>
    </row>
    <row r="44" spans="1:19" ht="15" customHeight="1" x14ac:dyDescent="0.25">
      <c r="A44" s="35">
        <v>42</v>
      </c>
      <c r="B44" s="49" t="s">
        <v>229</v>
      </c>
      <c r="C44" s="541">
        <f>'UBS J Brasil'!B9+'UBS V Guilherme'!B7+'UBS V Medeiros'!B9+'UBS Izolina Mazzei'!B9+'UBS Jardim Japão'!B9+'UBS Vila Ede'!B9+'UBS Vila Leonor'!B9+'UBS Vila Sabrina'!B9+'UBS Carandiru'!B9+'UBS Vila Maria P Gnecco'!B9+'UBS Jardim Julieta'!B7</f>
        <v>11046</v>
      </c>
      <c r="D44" s="512">
        <f>'UBS J Brasil'!G9+'UBS V Guilherme'!G7+'UBS V Medeiros'!G9+'UBS Izolina Mazzei'!G9+'UBS Jardim Japão'!G9+'UBS Vila Ede'!G9+'UBS Vila Leonor'!G9+'UBS Vila Sabrina'!G9+'UBS Carandiru'!G9+'UBS Vila Maria P Gnecco'!G9+'UBS Jardim Julieta'!G7</f>
        <v>13937</v>
      </c>
      <c r="E44" s="46">
        <f t="shared" si="36"/>
        <v>0.2617237008871991</v>
      </c>
      <c r="F44" s="512">
        <f>'UBS J Brasil'!I9+'UBS V Guilherme'!I7+'UBS V Medeiros'!I9+'UBS Izolina Mazzei'!I9+'UBS Jardim Japão'!I9+'UBS Vila Ede'!I9+'UBS Vila Leonor'!I9+'UBS Vila Sabrina'!I9+'UBS Carandiru'!I9+'UBS Vila Maria P Gnecco'!I9+'UBS Jardim Julieta'!I7</f>
        <v>12899</v>
      </c>
      <c r="G44" s="46">
        <f t="shared" si="12"/>
        <v>0.16775303277204423</v>
      </c>
      <c r="H44" s="512">
        <f>'UBS J Brasil'!K9+'UBS V Guilherme'!K7+'UBS V Medeiros'!K9+'UBS Izolina Mazzei'!K9+'UBS Jardim Japão'!K9+'UBS Vila Ede'!K9+'UBS Vila Leonor'!K9+'UBS Vila Sabrina'!K9+'UBS Carandiru'!K9+'UBS Vila Maria P Gnecco'!K9+'UBS Jardim Julieta'!K7</f>
        <v>13182</v>
      </c>
      <c r="I44" s="46">
        <f t="shared" ref="I44:I52" si="42">((H44/$C44))-1</f>
        <v>0.19337316675719718</v>
      </c>
      <c r="J44" s="526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K44" s="47" t="e">
        <f t="shared" ref="K44:K52" si="43">((J44/(C44*3)))-1</f>
        <v>#REF!</v>
      </c>
      <c r="L44" s="512">
        <f>'UBS J Brasil'!M9+'UBS V Guilherme'!M7+'UBS V Medeiros'!M9+'UBS Izolina Mazzei'!M9+'UBS Jardim Japão'!M9+'UBS Vila Ede'!M9+'UBS Vila Leonor'!M9+'UBS Vila Sabrina'!M9+'UBS Carandiru'!M9+'UBS Vila Maria P Gnecco'!M9+'UBS Jardim Julieta'!M7</f>
        <v>14112</v>
      </c>
      <c r="M44" s="46">
        <f t="shared" si="14"/>
        <v>0.27756653992395441</v>
      </c>
      <c r="N44" s="512">
        <f>'UBS J Brasil'!O9+'UBS V Guilherme'!O7+'UBS V Medeiros'!O9+'UBS Izolina Mazzei'!O9+'UBS Jardim Japão'!O9+'UBS Vila Ede'!O9+'UBS Vila Leonor'!O9+'UBS Vila Sabrina'!O9+'UBS Carandiru'!O9+'UBS Vila Maria P Gnecco'!O9+'UBS Jardim Julieta'!O7</f>
        <v>14017</v>
      </c>
      <c r="O44" s="46">
        <f t="shared" ref="O44:O52" si="44">((N44/$C44))-1</f>
        <v>0.26896614158971577</v>
      </c>
      <c r="P44" s="512">
        <f>'UBS J Brasil'!Q9+'UBS V Guilherme'!Q7+'UBS V Medeiros'!Q9+'UBS Izolina Mazzei'!Q9+'UBS Jardim Japão'!Q9+'UBS Vila Ede'!Q9+'UBS Vila Leonor'!Q9+'UBS Vila Sabrina'!Q9+'UBS Carandiru'!Q9+'UBS Vila Maria P Gnecco'!Q9+'UBS Jardim Julieta'!Q7</f>
        <v>15114</v>
      </c>
      <c r="Q44" s="46">
        <f t="shared" ref="Q44:Q52" si="45">((P44/$C44))-1</f>
        <v>0.36827810972297659</v>
      </c>
      <c r="R44" s="523">
        <f t="shared" si="19"/>
        <v>43243</v>
      </c>
      <c r="S44" s="47">
        <f t="shared" ref="S44:S52" si="46">((R44/(C44*3)))-1</f>
        <v>0.30493693041221559</v>
      </c>
    </row>
    <row r="45" spans="1:19" ht="15" customHeight="1" x14ac:dyDescent="0.25">
      <c r="A45" s="35">
        <v>31</v>
      </c>
      <c r="B45" s="49" t="s">
        <v>230</v>
      </c>
      <c r="C45" s="538">
        <v>8153</v>
      </c>
      <c r="D45" s="508">
        <f>'UBS J Brasil'!G12+'UBS V Guilherme'!G10+'UBS V Medeiros'!G12+'UBS Izolina Mazzei'!G12+'UBS Jardim Japão'!G11+'UBS Vila Ede'!G12+'UBS Vila Leonor'!G11+'UBS Vila Sabrina'!G11+'UBS Carandiru'!G13+'UBS Vila Maria P Gnecco'!G11+'UBS Jardim Julieta'!G9</f>
        <v>5721</v>
      </c>
      <c r="E45" s="46">
        <f t="shared" si="36"/>
        <v>-0.29829510609591559</v>
      </c>
      <c r="F45" s="508">
        <f>'UBS J Brasil'!I12+'UBS V Guilherme'!I10+'UBS V Medeiros'!I12+'UBS Izolina Mazzei'!I12+'UBS Jardim Japão'!I11+'UBS Vila Ede'!I12+'UBS Vila Leonor'!I11+'UBS Vila Sabrina'!I11+'UBS Carandiru'!I13+'UBS Vila Maria P Gnecco'!I11+'UBS Jardim Julieta'!I9</f>
        <v>5187</v>
      </c>
      <c r="G45" s="46">
        <f t="shared" si="12"/>
        <v>-0.363792469029805</v>
      </c>
      <c r="H45" s="508">
        <f>'UBS J Brasil'!K12+'UBS V Guilherme'!K10+'UBS V Medeiros'!K12+'UBS Izolina Mazzei'!K12+'UBS Jardim Japão'!K11+'UBS Vila Ede'!K12+'UBS Vila Leonor'!K11+'UBS Vila Sabrina'!K11+'UBS Carandiru'!K13+'UBS Vila Maria P Gnecco'!K11+'UBS Jardim Julieta'!K9</f>
        <v>5626</v>
      </c>
      <c r="I45" s="46">
        <f t="shared" si="42"/>
        <v>-0.30994725867778727</v>
      </c>
      <c r="J45" s="523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K45" s="47" t="e">
        <f t="shared" si="43"/>
        <v>#REF!</v>
      </c>
      <c r="L45" s="508">
        <f>'UBS J Brasil'!M12+'UBS V Guilherme'!M10+'UBS V Medeiros'!M12+'UBS Izolina Mazzei'!M12+'UBS Jardim Japão'!M11+'UBS Vila Ede'!M12+'UBS Vila Leonor'!M11+'UBS Vila Sabrina'!M11+'UBS Carandiru'!M13+'UBS Vila Maria P Gnecco'!M11+'UBS Jardim Julieta'!M9</f>
        <v>5472</v>
      </c>
      <c r="M45" s="46">
        <f t="shared" si="14"/>
        <v>-0.32883601128418982</v>
      </c>
      <c r="N45" s="508">
        <f>'UBS J Brasil'!O12+'UBS V Guilherme'!O10+'UBS V Medeiros'!O12+'UBS Izolina Mazzei'!O12+'UBS Jardim Japão'!O11+'UBS Vila Ede'!O12+'UBS Vila Leonor'!O11+'UBS Vila Sabrina'!O11+'UBS Carandiru'!O13+'UBS Vila Maria P Gnecco'!O11+'UBS Jardim Julieta'!O9</f>
        <v>4895</v>
      </c>
      <c r="O45" s="46">
        <f t="shared" si="44"/>
        <v>-0.3996075064393475</v>
      </c>
      <c r="P45" s="508">
        <f>'UBS J Brasil'!Q12+'UBS V Guilherme'!Q10+'UBS V Medeiros'!Q12+'UBS Izolina Mazzei'!Q12+'UBS Jardim Japão'!Q11+'UBS Vila Ede'!Q12+'UBS Vila Leonor'!Q11+'UBS Vila Sabrina'!Q11+'UBS Carandiru'!Q13+'UBS Vila Maria P Gnecco'!Q11+'UBS Jardim Julieta'!Q9</f>
        <v>6295</v>
      </c>
      <c r="Q45" s="46">
        <f t="shared" si="45"/>
        <v>-0.22789157365386969</v>
      </c>
      <c r="R45" s="523">
        <f t="shared" si="19"/>
        <v>16662</v>
      </c>
      <c r="S45" s="47">
        <f t="shared" si="46"/>
        <v>-0.31877836379246904</v>
      </c>
    </row>
    <row r="46" spans="1:19" ht="15" customHeight="1" x14ac:dyDescent="0.25">
      <c r="A46" s="35">
        <v>31</v>
      </c>
      <c r="B46" s="45" t="s">
        <v>231</v>
      </c>
      <c r="C46" s="538">
        <v>8153</v>
      </c>
      <c r="D46" s="508">
        <f>'UBS J Brasil'!G10+'UBS V Guilherme'!G8+'UBS V Medeiros'!G10+'UBS Izolina Mazzei'!G10+'UBS Jardim Japão'!G10+'UBS Vila Ede'!G10+'UBS Vila Leonor'!G10+'UBS Vila Sabrina'!G10+'UBS Carandiru'!G10+'UBS Vila Maria P Gnecco'!G10+'UBS Jardim Julieta'!G8</f>
        <v>7505</v>
      </c>
      <c r="E46" s="46">
        <f t="shared" si="36"/>
        <v>-7.9479946032135373E-2</v>
      </c>
      <c r="F46" s="508">
        <f>'UBS J Brasil'!I10+'UBS V Guilherme'!I8+'UBS V Medeiros'!I10+'UBS Izolina Mazzei'!I10+'UBS Jardim Japão'!I10+'UBS Vila Ede'!I10+'UBS Vila Leonor'!I10+'UBS Vila Sabrina'!I10+'UBS Carandiru'!I10+'UBS Vila Maria P Gnecco'!I10+'UBS Jardim Julieta'!I8</f>
        <v>6703</v>
      </c>
      <c r="G46" s="46">
        <f t="shared" si="12"/>
        <v>-0.17784864467067341</v>
      </c>
      <c r="H46" s="508">
        <f>'UBS J Brasil'!K10+'UBS V Guilherme'!K8+'UBS V Medeiros'!K10+'UBS Izolina Mazzei'!K10+'UBS Jardim Japão'!K10+'UBS Vila Ede'!K10+'UBS Vila Leonor'!K10+'UBS Vila Sabrina'!K10+'UBS Carandiru'!K10+'UBS Vila Maria P Gnecco'!K10+'UBS Jardim Julieta'!K8</f>
        <v>6332</v>
      </c>
      <c r="I46" s="46">
        <f t="shared" si="42"/>
        <v>-0.22335336685882501</v>
      </c>
      <c r="J46" s="523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K46" s="47" t="e">
        <f t="shared" si="43"/>
        <v>#REF!</v>
      </c>
      <c r="L46" s="508">
        <f>'UBS J Brasil'!M10+'UBS V Guilherme'!M8+'UBS V Medeiros'!M10+'UBS Izolina Mazzei'!M10+'UBS Jardim Japão'!M10+'UBS Vila Ede'!M10+'UBS Vila Leonor'!M10+'UBS Vila Sabrina'!M10+'UBS Carandiru'!M10+'UBS Vila Maria P Gnecco'!M10+'UBS Jardim Julieta'!M8</f>
        <v>6522</v>
      </c>
      <c r="M46" s="46">
        <f t="shared" si="14"/>
        <v>-0.20004906169508152</v>
      </c>
      <c r="N46" s="508">
        <f>'UBS J Brasil'!O10+'UBS V Guilherme'!O8+'UBS V Medeiros'!O10+'UBS Izolina Mazzei'!O10+'UBS Jardim Japão'!O10+'UBS Vila Ede'!O10+'UBS Vila Leonor'!O10+'UBS Vila Sabrina'!O10+'UBS Carandiru'!O10+'UBS Vila Maria P Gnecco'!O10+'UBS Jardim Julieta'!O8</f>
        <v>6526</v>
      </c>
      <c r="O46" s="46">
        <f t="shared" si="44"/>
        <v>-0.19955844474426587</v>
      </c>
      <c r="P46" s="508">
        <f>'UBS J Brasil'!Q10+'UBS V Guilherme'!Q8+'UBS V Medeiros'!Q10+'UBS Izolina Mazzei'!Q10+'UBS Jardim Japão'!Q10+'UBS Vila Ede'!Q10+'UBS Vila Leonor'!Q10+'UBS Vila Sabrina'!Q10+'UBS Carandiru'!Q10+'UBS Vila Maria P Gnecco'!Q10+'UBS Jardim Julieta'!Q8</f>
        <v>7066</v>
      </c>
      <c r="Q46" s="46">
        <f t="shared" si="45"/>
        <v>-0.1333251563841531</v>
      </c>
      <c r="R46" s="523">
        <f t="shared" si="19"/>
        <v>20114</v>
      </c>
      <c r="S46" s="47">
        <f t="shared" si="46"/>
        <v>-0.17764422094116683</v>
      </c>
    </row>
    <row r="47" spans="1:19" ht="15" customHeight="1" x14ac:dyDescent="0.25">
      <c r="A47" s="35">
        <v>5</v>
      </c>
      <c r="B47" s="45" t="s">
        <v>232</v>
      </c>
      <c r="C47" s="538">
        <v>625</v>
      </c>
      <c r="D47" s="508">
        <f>'UBS J Brasil'!G11+'UBS V Guilherme'!G9+'UBS V Medeiros'!G11+'UBS Carandiru'!G11</f>
        <v>1179</v>
      </c>
      <c r="E47" s="46">
        <f t="shared" si="36"/>
        <v>0.88640000000000008</v>
      </c>
      <c r="F47" s="508">
        <f>'UBS J Brasil'!I11+'UBS V Guilherme'!I9+'UBS V Medeiros'!I11+'UBS Carandiru'!I11</f>
        <v>1062</v>
      </c>
      <c r="G47" s="46">
        <f t="shared" si="12"/>
        <v>0.69920000000000004</v>
      </c>
      <c r="H47" s="508">
        <f>'UBS J Brasil'!K11+'UBS V Guilherme'!K9+'UBS V Medeiros'!K11+'UBS Carandiru'!K11</f>
        <v>883</v>
      </c>
      <c r="I47" s="46">
        <f t="shared" si="42"/>
        <v>0.41280000000000006</v>
      </c>
      <c r="J47" s="523" t="e">
        <f>'UBS J Brasil'!#REF!+'UBS V Guilherme'!#REF!+'UBS V Medeiros'!#REF!+'UBS Carandiru'!#REF!</f>
        <v>#REF!</v>
      </c>
      <c r="K47" s="47" t="e">
        <f t="shared" si="43"/>
        <v>#REF!</v>
      </c>
      <c r="L47" s="508">
        <f>'UBS J Brasil'!M11+'UBS V Guilherme'!M9+'UBS V Medeiros'!M11+'UBS Carandiru'!M11</f>
        <v>1215</v>
      </c>
      <c r="M47" s="46">
        <f t="shared" si="14"/>
        <v>0.94399999999999995</v>
      </c>
      <c r="N47" s="508">
        <f>'UBS J Brasil'!O11+'UBS V Guilherme'!O9+'UBS V Medeiros'!O11+'UBS Carandiru'!O11</f>
        <v>1082</v>
      </c>
      <c r="O47" s="46">
        <f t="shared" si="44"/>
        <v>0.73120000000000007</v>
      </c>
      <c r="P47" s="508">
        <f>'UBS J Brasil'!Q11+'UBS V Guilherme'!Q9+'UBS V Medeiros'!Q11+'UBS Carandiru'!Q11</f>
        <v>787</v>
      </c>
      <c r="Q47" s="46">
        <f t="shared" si="45"/>
        <v>0.2592000000000001</v>
      </c>
      <c r="R47" s="523">
        <f t="shared" si="19"/>
        <v>3084</v>
      </c>
      <c r="S47" s="47">
        <f t="shared" si="46"/>
        <v>0.64480000000000004</v>
      </c>
    </row>
    <row r="48" spans="1:19" ht="15" customHeight="1" x14ac:dyDescent="0.25">
      <c r="A48" s="35">
        <v>0.5</v>
      </c>
      <c r="B48" s="45" t="s">
        <v>233</v>
      </c>
      <c r="C48" s="538">
        <v>100</v>
      </c>
      <c r="D48" s="508">
        <f>'UBS Carandiru'!G14</f>
        <v>88</v>
      </c>
      <c r="E48" s="46">
        <f t="shared" si="36"/>
        <v>-0.12</v>
      </c>
      <c r="F48" s="508">
        <f>'UBS Carandiru'!I14</f>
        <v>107</v>
      </c>
      <c r="G48" s="46">
        <f t="shared" si="12"/>
        <v>7.0000000000000062E-2</v>
      </c>
      <c r="H48" s="508">
        <f>'UBS Carandiru'!K14</f>
        <v>79</v>
      </c>
      <c r="I48" s="46">
        <f t="shared" si="42"/>
        <v>-0.20999999999999996</v>
      </c>
      <c r="J48" s="523" t="e">
        <f>'UBS Carandiru'!#REF!</f>
        <v>#REF!</v>
      </c>
      <c r="K48" s="47" t="e">
        <f t="shared" si="43"/>
        <v>#REF!</v>
      </c>
      <c r="L48" s="508">
        <f>'UBS Carandiru'!M14</f>
        <v>98</v>
      </c>
      <c r="M48" s="46">
        <f t="shared" si="14"/>
        <v>-2.0000000000000018E-2</v>
      </c>
      <c r="N48" s="508">
        <f>'UBS Carandiru'!O14</f>
        <v>55</v>
      </c>
      <c r="O48" s="46">
        <f t="shared" si="44"/>
        <v>-0.44999999999999996</v>
      </c>
      <c r="P48" s="508">
        <f>'UBS Carandiru'!Q14</f>
        <v>0</v>
      </c>
      <c r="Q48" s="46">
        <f t="shared" si="45"/>
        <v>-1</v>
      </c>
      <c r="R48" s="523">
        <f t="shared" si="19"/>
        <v>153</v>
      </c>
      <c r="S48" s="47">
        <f t="shared" si="46"/>
        <v>-0.49</v>
      </c>
    </row>
    <row r="49" spans="1:19" ht="15" customHeight="1" x14ac:dyDescent="0.25">
      <c r="A49" s="35">
        <v>1</v>
      </c>
      <c r="B49" s="45" t="s">
        <v>234</v>
      </c>
      <c r="C49" s="538">
        <v>125</v>
      </c>
      <c r="D49" s="508">
        <f>'UBS Carandiru'!G12</f>
        <v>227</v>
      </c>
      <c r="E49" s="46">
        <f t="shared" si="36"/>
        <v>0.81600000000000006</v>
      </c>
      <c r="F49" s="508">
        <f>'UBS Carandiru'!I12</f>
        <v>205</v>
      </c>
      <c r="G49" s="46">
        <f t="shared" si="12"/>
        <v>0.6399999999999999</v>
      </c>
      <c r="H49" s="508">
        <f>'UBS Carandiru'!K12</f>
        <v>206</v>
      </c>
      <c r="I49" s="46">
        <f t="shared" si="42"/>
        <v>0.64799999999999991</v>
      </c>
      <c r="J49" s="523" t="e">
        <f>'UBS Carandiru'!#REF!</f>
        <v>#REF!</v>
      </c>
      <c r="K49" s="47" t="e">
        <f t="shared" si="43"/>
        <v>#REF!</v>
      </c>
      <c r="L49" s="508">
        <f>'UBS Carandiru'!M12</f>
        <v>209</v>
      </c>
      <c r="M49" s="46">
        <f t="shared" si="14"/>
        <v>0.67199999999999993</v>
      </c>
      <c r="N49" s="508">
        <f>'UBS Carandiru'!O12</f>
        <v>227</v>
      </c>
      <c r="O49" s="46">
        <f t="shared" si="44"/>
        <v>0.81600000000000006</v>
      </c>
      <c r="P49" s="508">
        <f>'UBS Carandiru'!Q12</f>
        <v>234</v>
      </c>
      <c r="Q49" s="46">
        <f t="shared" si="45"/>
        <v>0.87200000000000011</v>
      </c>
      <c r="R49" s="523">
        <f t="shared" si="19"/>
        <v>670</v>
      </c>
      <c r="S49" s="47">
        <f t="shared" si="46"/>
        <v>0.78666666666666663</v>
      </c>
    </row>
    <row r="50" spans="1:19" ht="15" customHeight="1" x14ac:dyDescent="0.25">
      <c r="A50" s="35"/>
      <c r="B50" s="45" t="s">
        <v>267</v>
      </c>
      <c r="C50" s="538">
        <v>140</v>
      </c>
      <c r="D50" s="508">
        <f>'UBS Izolina Mazzei'!G11</f>
        <v>126</v>
      </c>
      <c r="E50" s="46">
        <f t="shared" si="36"/>
        <v>-9.9999999999999978E-2</v>
      </c>
      <c r="F50" s="508">
        <f>'UBS Izolina Mazzei'!I11</f>
        <v>93</v>
      </c>
      <c r="G50" s="46">
        <f t="shared" si="12"/>
        <v>-0.33571428571428574</v>
      </c>
      <c r="H50" s="508">
        <f>'UBS Izolina Mazzei'!K11</f>
        <v>95</v>
      </c>
      <c r="I50" s="46">
        <f t="shared" si="42"/>
        <v>-0.3214285714285714</v>
      </c>
      <c r="J50" s="523" t="e">
        <f>'UBS Izolina Mazzei'!#REF!</f>
        <v>#REF!</v>
      </c>
      <c r="K50" s="47" t="e">
        <f t="shared" si="43"/>
        <v>#REF!</v>
      </c>
      <c r="L50" s="508">
        <f>'UBS Izolina Mazzei'!M11</f>
        <v>143</v>
      </c>
      <c r="M50" s="46">
        <f t="shared" si="14"/>
        <v>2.1428571428571352E-2</v>
      </c>
      <c r="N50" s="508">
        <f>'UBS Izolina Mazzei'!O11</f>
        <v>120</v>
      </c>
      <c r="O50" s="46">
        <f t="shared" si="44"/>
        <v>-0.1428571428571429</v>
      </c>
      <c r="P50" s="508">
        <f>'UBS Izolina Mazzei'!Q11</f>
        <v>122</v>
      </c>
      <c r="Q50" s="46">
        <f t="shared" si="45"/>
        <v>-0.12857142857142856</v>
      </c>
      <c r="R50" s="523">
        <f t="shared" si="19"/>
        <v>385</v>
      </c>
      <c r="S50" s="47">
        <f t="shared" si="46"/>
        <v>-8.333333333333337E-2</v>
      </c>
    </row>
    <row r="51" spans="1:19" ht="15" customHeight="1" x14ac:dyDescent="0.25">
      <c r="A51" s="35">
        <v>57</v>
      </c>
      <c r="B51" s="45" t="s">
        <v>235</v>
      </c>
      <c r="C51" s="538">
        <v>6327</v>
      </c>
      <c r="D51" s="508">
        <f>'UBS J Brasil'!G7+'UBS V Medeiros'!G7+'UBS Izolina Mazzei'!G7+'UBS Jardim Japão'!G7+'UBS Vila Ede'!G7+'UBS Vila Leonor'!G7+'UBS Vila Sabrina'!G7+'UBS Carandiru'!G7+'UBS Vila Maria P Gnecco'!G7</f>
        <v>5453</v>
      </c>
      <c r="E51" s="46">
        <f t="shared" si="36"/>
        <v>-0.13813813813813813</v>
      </c>
      <c r="F51" s="508">
        <f>'UBS J Brasil'!I7+'UBS V Medeiros'!I7+'UBS Izolina Mazzei'!I7+'UBS Jardim Japão'!I7+'UBS Vila Ede'!I7+'UBS Vila Leonor'!I7+'UBS Vila Sabrina'!I7+'UBS Carandiru'!I7+'UBS Vila Maria P Gnecco'!I7</f>
        <v>4972</v>
      </c>
      <c r="G51" s="46">
        <f t="shared" si="12"/>
        <v>-0.21416152995100368</v>
      </c>
      <c r="H51" s="508">
        <f>'UBS J Brasil'!K7+'UBS V Medeiros'!K7+'UBS Izolina Mazzei'!K7+'UBS Jardim Japão'!K7+'UBS Vila Ede'!K7+'UBS Vila Leonor'!K7+'UBS Vila Sabrina'!K7+'UBS Carandiru'!K7+'UBS Vila Maria P Gnecco'!K7</f>
        <v>5257</v>
      </c>
      <c r="I51" s="46">
        <f t="shared" si="42"/>
        <v>-0.16911648490595854</v>
      </c>
      <c r="J51" s="523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K51" s="47" t="e">
        <f t="shared" si="43"/>
        <v>#REF!</v>
      </c>
      <c r="L51" s="508">
        <f>'UBS J Brasil'!M7+'UBS V Medeiros'!M7+'UBS Izolina Mazzei'!M7+'UBS Jardim Japão'!M7+'UBS Vila Ede'!M7+'UBS Vila Leonor'!M7+'UBS Vila Sabrina'!M7+'UBS Carandiru'!M7+'UBS Vila Maria P Gnecco'!M7</f>
        <v>6415</v>
      </c>
      <c r="M51" s="46">
        <f t="shared" si="14"/>
        <v>1.3908645487592963E-2</v>
      </c>
      <c r="N51" s="508">
        <f>'UBS J Brasil'!O7+'UBS V Medeiros'!O7+'UBS Izolina Mazzei'!O7+'UBS Jardim Japão'!O7+'UBS Vila Ede'!O7+'UBS Vila Leonor'!O7+'UBS Vila Sabrina'!O7+'UBS Carandiru'!O7+'UBS Vila Maria P Gnecco'!O7</f>
        <v>6471</v>
      </c>
      <c r="O51" s="46">
        <f t="shared" si="44"/>
        <v>2.2759601706970223E-2</v>
      </c>
      <c r="P51" s="508">
        <f>'UBS J Brasil'!Q7+'UBS V Medeiros'!Q7+'UBS Izolina Mazzei'!Q7+'UBS Jardim Japão'!Q7+'UBS Vila Ede'!Q7+'UBS Vila Leonor'!Q7+'UBS Vila Sabrina'!Q7+'UBS Carandiru'!Q7+'UBS Vila Maria P Gnecco'!Q7</f>
        <v>6938</v>
      </c>
      <c r="Q51" s="46">
        <f t="shared" si="45"/>
        <v>9.6570254464991345E-2</v>
      </c>
      <c r="R51" s="523">
        <f t="shared" si="19"/>
        <v>19824</v>
      </c>
      <c r="S51" s="47">
        <f t="shared" si="46"/>
        <v>4.4412833886518177E-2</v>
      </c>
    </row>
    <row r="52" spans="1:19" ht="15" customHeight="1" x14ac:dyDescent="0.25">
      <c r="A52" s="28"/>
      <c r="B52" s="45" t="s">
        <v>236</v>
      </c>
      <c r="C52" s="538">
        <v>25308</v>
      </c>
      <c r="D52" s="508">
        <f>'UBS J Brasil'!G8+'UBS V Medeiros'!G8+'UBS Izolina Mazzei'!G8+'UBS Jardim Japão'!G8+'UBS Vila Ede'!G8+'UBS Vila Leonor'!G8+'UBS Vila Sabrina'!G8+'UBS Carandiru'!G8+'UBS Vila Maria P Gnecco'!G8</f>
        <v>22022</v>
      </c>
      <c r="E52" s="46">
        <f t="shared" si="36"/>
        <v>-0.1298403666824719</v>
      </c>
      <c r="F52" s="508">
        <f>'UBS J Brasil'!I8+'UBS V Medeiros'!I8+'UBS Izolina Mazzei'!I8+'UBS Jardim Japão'!I8+'UBS Vila Ede'!I8+'UBS Vila Leonor'!I8+'UBS Vila Sabrina'!I8+'UBS Carandiru'!I8+'UBS Vila Maria P Gnecco'!I8</f>
        <v>17386</v>
      </c>
      <c r="G52" s="46">
        <f t="shared" si="12"/>
        <v>-0.31302354986565517</v>
      </c>
      <c r="H52" s="508">
        <f>'UBS J Brasil'!K8+'UBS V Medeiros'!K8+'UBS Izolina Mazzei'!K8+'UBS Jardim Japão'!K8+'UBS Vila Ede'!K8+'UBS Vila Leonor'!K8+'UBS Vila Sabrina'!K8+'UBS Carandiru'!K8+'UBS Vila Maria P Gnecco'!K8</f>
        <v>19807</v>
      </c>
      <c r="I52" s="46">
        <f t="shared" si="42"/>
        <v>-0.2173620989410463</v>
      </c>
      <c r="J52" s="523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K52" s="47" t="e">
        <f t="shared" si="43"/>
        <v>#REF!</v>
      </c>
      <c r="L52" s="508">
        <f>'UBS J Brasil'!M8+'UBS V Medeiros'!M8+'UBS Izolina Mazzei'!M8+'UBS Jardim Japão'!M8+'UBS Vila Ede'!M8+'UBS Vila Leonor'!M8+'UBS Vila Sabrina'!M8+'UBS Carandiru'!M8+'UBS Vila Maria P Gnecco'!M8</f>
        <v>22467</v>
      </c>
      <c r="M52" s="46">
        <f t="shared" si="14"/>
        <v>-0.11225699383594123</v>
      </c>
      <c r="N52" s="508">
        <f>'UBS J Brasil'!O8+'UBS V Medeiros'!O8+'UBS Izolina Mazzei'!O8+'UBS Jardim Japão'!O8+'UBS Vila Ede'!O8+'UBS Vila Leonor'!O8+'UBS Vila Sabrina'!O8+'UBS Carandiru'!O8+'UBS Vila Maria P Gnecco'!O8</f>
        <v>23800</v>
      </c>
      <c r="O52" s="46">
        <f t="shared" si="44"/>
        <v>-5.9585901691164844E-2</v>
      </c>
      <c r="P52" s="508">
        <f>'UBS J Brasil'!Q8+'UBS V Medeiros'!Q8+'UBS Izolina Mazzei'!Q8+'UBS Jardim Japão'!Q8+'UBS Vila Ede'!Q8+'UBS Vila Leonor'!Q8+'UBS Vila Sabrina'!Q8+'UBS Carandiru'!Q8+'UBS Vila Maria P Gnecco'!Q8</f>
        <v>25537</v>
      </c>
      <c r="Q52" s="46">
        <f t="shared" si="45"/>
        <v>9.0485222064169424E-3</v>
      </c>
      <c r="R52" s="523">
        <f t="shared" si="19"/>
        <v>71804</v>
      </c>
      <c r="S52" s="47">
        <f t="shared" si="46"/>
        <v>-5.4264791106896415E-2</v>
      </c>
    </row>
    <row r="53" spans="1:19" x14ac:dyDescent="0.25">
      <c r="B53" s="680" t="s">
        <v>237</v>
      </c>
      <c r="C53" s="680"/>
      <c r="D53" s="680"/>
      <c r="E53" s="680"/>
      <c r="F53" s="680"/>
      <c r="G53" s="680"/>
      <c r="H53" s="681"/>
      <c r="I53" s="681"/>
      <c r="J53" s="680"/>
      <c r="K53" s="680"/>
      <c r="L53" s="680"/>
      <c r="M53" s="680"/>
    </row>
    <row r="54" spans="1:19" ht="15" customHeight="1" x14ac:dyDescent="0.25">
      <c r="B54" s="69" t="s">
        <v>238</v>
      </c>
      <c r="C54" s="525">
        <v>10</v>
      </c>
      <c r="D54" s="511"/>
      <c r="E54" s="511"/>
      <c r="F54" s="511"/>
      <c r="G54" s="511"/>
      <c r="H54" s="511"/>
      <c r="I54" s="511"/>
      <c r="J54" s="525"/>
      <c r="K54" s="511"/>
      <c r="L54" s="511"/>
      <c r="M54" s="511"/>
      <c r="N54" s="511"/>
      <c r="O54" s="511"/>
      <c r="P54" s="511"/>
      <c r="Q54" s="511"/>
      <c r="R54" s="525"/>
      <c r="S54" s="511"/>
    </row>
    <row r="55" spans="1:19" ht="15" customHeight="1" x14ac:dyDescent="0.25">
      <c r="A55">
        <v>9</v>
      </c>
      <c r="B55" s="49" t="s">
        <v>239</v>
      </c>
      <c r="C55" s="542">
        <v>3744</v>
      </c>
      <c r="D55" s="512">
        <f>'Pque N Mundo I'!G8+'Pque N Mundo II'!G8</f>
        <v>3348</v>
      </c>
      <c r="E55" s="46">
        <f t="shared" ref="E55:E65" si="47">((D55/$C55))-1</f>
        <v>-0.10576923076923073</v>
      </c>
      <c r="F55" s="512">
        <f>'Pque N Mundo I'!I8+'Pque N Mundo II'!I8</f>
        <v>3556</v>
      </c>
      <c r="G55" s="46">
        <f t="shared" ref="G55:G65" si="48">((F55/$C55))-1</f>
        <v>-5.0213675213675257E-2</v>
      </c>
      <c r="H55" s="512">
        <f>'Pque N Mundo I'!K8+'Pque N Mundo II'!K8</f>
        <v>3659</v>
      </c>
      <c r="I55" s="46">
        <f t="shared" ref="I55:I65" si="49">((H55/$C55))-1</f>
        <v>-2.2702991452991483E-2</v>
      </c>
      <c r="J55" s="526" t="e">
        <f>'Pque N Mundo I'!#REF!+'Pque N Mundo II'!#REF!</f>
        <v>#REF!</v>
      </c>
      <c r="K55" s="47" t="e">
        <f t="shared" ref="K55:K65" si="50">((J55/(C55*3)))-1</f>
        <v>#REF!</v>
      </c>
      <c r="L55" s="512">
        <f>'Pque N Mundo I'!M8+'Pque N Mundo II'!M8</f>
        <v>4062</v>
      </c>
      <c r="M55" s="46">
        <f t="shared" ref="M55:M65" si="51">((L55/$C55))-1</f>
        <v>8.4935897435897356E-2</v>
      </c>
      <c r="N55" s="512">
        <f>'Pque N Mundo I'!O8+'Pque N Mundo II'!O8</f>
        <v>3767</v>
      </c>
      <c r="O55" s="46">
        <f t="shared" ref="O55:O65" si="52">((N55/$C55))-1</f>
        <v>6.1431623931624824E-3</v>
      </c>
      <c r="P55" s="512">
        <f t="shared" ref="P55:P65" si="53">L55</f>
        <v>4062</v>
      </c>
      <c r="Q55" s="46">
        <f t="shared" ref="Q55:Q65" si="54">((P55/$C55))-1</f>
        <v>8.4935897435897356E-2</v>
      </c>
      <c r="R55" s="523">
        <f t="shared" ref="R55:R65" si="55">SUM(L55,N55,P55)</f>
        <v>11891</v>
      </c>
      <c r="S55" s="47">
        <f t="shared" ref="S55:S65" si="56">((R55/(C55*3)))-1</f>
        <v>5.8671652421652398E-2</v>
      </c>
    </row>
    <row r="56" spans="1:19" ht="15" customHeight="1" x14ac:dyDescent="0.25">
      <c r="A56">
        <v>9</v>
      </c>
      <c r="B56" s="49" t="s">
        <v>240</v>
      </c>
      <c r="C56" s="542">
        <v>1404</v>
      </c>
      <c r="D56" s="512">
        <f>'Pque N Mundo I'!G9+'Pque N Mundo II'!G9</f>
        <v>1621</v>
      </c>
      <c r="E56" s="46">
        <f t="shared" si="47"/>
        <v>0.15455840455840453</v>
      </c>
      <c r="F56" s="512">
        <f>'Pque N Mundo I'!I9+'Pque N Mundo II'!I9</f>
        <v>1683</v>
      </c>
      <c r="G56" s="46">
        <f t="shared" si="48"/>
        <v>0.19871794871794868</v>
      </c>
      <c r="H56" s="512">
        <f>'Pque N Mundo I'!K9+'Pque N Mundo II'!K9</f>
        <v>1421</v>
      </c>
      <c r="I56" s="46">
        <f t="shared" si="49"/>
        <v>1.2108262108262213E-2</v>
      </c>
      <c r="J56" s="526" t="e">
        <f>'Pque N Mundo I'!#REF!+'Pque N Mundo II'!#REF!</f>
        <v>#REF!</v>
      </c>
      <c r="K56" s="47" t="e">
        <f t="shared" si="50"/>
        <v>#REF!</v>
      </c>
      <c r="L56" s="512">
        <f>'Pque N Mundo I'!M9+'Pque N Mundo II'!M9</f>
        <v>1280</v>
      </c>
      <c r="M56" s="46">
        <f t="shared" si="51"/>
        <v>-8.8319088319088301E-2</v>
      </c>
      <c r="N56" s="512">
        <f>'Pque N Mundo I'!O9+'Pque N Mundo II'!O9</f>
        <v>1200</v>
      </c>
      <c r="O56" s="46">
        <f t="shared" si="52"/>
        <v>-0.14529914529914534</v>
      </c>
      <c r="P56" s="512">
        <f t="shared" si="53"/>
        <v>1280</v>
      </c>
      <c r="Q56" s="46">
        <f t="shared" si="54"/>
        <v>-8.8319088319088301E-2</v>
      </c>
      <c r="R56" s="523">
        <f t="shared" si="55"/>
        <v>3760</v>
      </c>
      <c r="S56" s="47">
        <f t="shared" si="56"/>
        <v>-0.10731244064577394</v>
      </c>
    </row>
    <row r="57" spans="1:19" ht="15" customHeight="1" x14ac:dyDescent="0.25">
      <c r="A57">
        <v>54</v>
      </c>
      <c r="B57" s="49" t="s">
        <v>241</v>
      </c>
      <c r="C57" s="542">
        <v>10800</v>
      </c>
      <c r="D57" s="512">
        <f>'Pque N Mundo I'!G7+'Pque N Mundo II'!G7</f>
        <v>10691</v>
      </c>
      <c r="E57" s="46">
        <f t="shared" si="47"/>
        <v>-1.0092592592592542E-2</v>
      </c>
      <c r="F57" s="512">
        <f>'Pque N Mundo I'!I7+'Pque N Mundo II'!I7</f>
        <v>10624</v>
      </c>
      <c r="G57" s="46">
        <f t="shared" si="48"/>
        <v>-1.6296296296296253E-2</v>
      </c>
      <c r="H57" s="512">
        <f>'Pque N Mundo I'!K7+'Pque N Mundo II'!K7</f>
        <v>10327</v>
      </c>
      <c r="I57" s="46">
        <f t="shared" si="49"/>
        <v>-4.3796296296296333E-2</v>
      </c>
      <c r="J57" s="526" t="e">
        <f>'Pque N Mundo I'!#REF!+'Pque N Mundo II'!#REF!</f>
        <v>#REF!</v>
      </c>
      <c r="K57" s="47" t="e">
        <f t="shared" si="50"/>
        <v>#REF!</v>
      </c>
      <c r="L57" s="512">
        <f>'Pque N Mundo I'!M7+'Pque N Mundo II'!M7</f>
        <v>10589</v>
      </c>
      <c r="M57" s="46">
        <f t="shared" si="51"/>
        <v>-1.9537037037037019E-2</v>
      </c>
      <c r="N57" s="512">
        <f>'Pque N Mundo I'!O7+'Pque N Mundo II'!O7</f>
        <v>10824</v>
      </c>
      <c r="O57" s="46">
        <f t="shared" si="52"/>
        <v>2.2222222222221255E-3</v>
      </c>
      <c r="P57" s="512">
        <f t="shared" si="53"/>
        <v>10589</v>
      </c>
      <c r="Q57" s="46">
        <f t="shared" si="54"/>
        <v>-1.9537037037037019E-2</v>
      </c>
      <c r="R57" s="523">
        <f t="shared" si="55"/>
        <v>32002</v>
      </c>
      <c r="S57" s="47">
        <f t="shared" si="56"/>
        <v>-1.2283950617283934E-2</v>
      </c>
    </row>
    <row r="58" spans="1:19" ht="15" customHeight="1" x14ac:dyDescent="0.25">
      <c r="A58" t="s">
        <v>242</v>
      </c>
      <c r="B58" s="49" t="s">
        <v>243</v>
      </c>
      <c r="C58" s="542">
        <v>416</v>
      </c>
      <c r="D58" s="512">
        <f>'Pque N Mundo II'!G10</f>
        <v>782</v>
      </c>
      <c r="E58" s="46">
        <f t="shared" si="47"/>
        <v>0.87980769230769229</v>
      </c>
      <c r="F58" s="512">
        <f>'Pque N Mundo II'!I10</f>
        <v>658</v>
      </c>
      <c r="G58" s="46">
        <f t="shared" si="48"/>
        <v>0.58173076923076916</v>
      </c>
      <c r="H58" s="512">
        <f>'Pque N Mundo II'!K10</f>
        <v>519</v>
      </c>
      <c r="I58" s="46">
        <f t="shared" si="49"/>
        <v>0.24759615384615374</v>
      </c>
      <c r="J58" s="526" t="e">
        <f>'Pque N Mundo II'!#REF!</f>
        <v>#REF!</v>
      </c>
      <c r="K58" s="47" t="e">
        <f t="shared" si="50"/>
        <v>#REF!</v>
      </c>
      <c r="L58" s="512">
        <f>'Pque N Mundo II'!M10</f>
        <v>752</v>
      </c>
      <c r="M58" s="46">
        <f t="shared" si="51"/>
        <v>0.80769230769230771</v>
      </c>
      <c r="N58" s="512">
        <f>'Pque N Mundo II'!O10</f>
        <v>698</v>
      </c>
      <c r="O58" s="46">
        <f t="shared" si="52"/>
        <v>0.67788461538461542</v>
      </c>
      <c r="P58" s="512">
        <f t="shared" si="53"/>
        <v>752</v>
      </c>
      <c r="Q58" s="46">
        <f t="shared" si="54"/>
        <v>0.80769230769230771</v>
      </c>
      <c r="R58" s="523">
        <f t="shared" si="55"/>
        <v>2202</v>
      </c>
      <c r="S58" s="47">
        <f t="shared" si="56"/>
        <v>0.76442307692307687</v>
      </c>
    </row>
    <row r="59" spans="1:19" ht="15" customHeight="1" x14ac:dyDescent="0.25">
      <c r="B59" s="49" t="s">
        <v>244</v>
      </c>
      <c r="C59" s="542">
        <v>1664</v>
      </c>
      <c r="D59" s="512">
        <f>'Pque N Mundo II'!G11</f>
        <v>2028</v>
      </c>
      <c r="E59" s="46">
        <f t="shared" si="47"/>
        <v>0.21875</v>
      </c>
      <c r="F59" s="512">
        <f>'Pque N Mundo II'!I11</f>
        <v>1495</v>
      </c>
      <c r="G59" s="46">
        <f t="shared" si="48"/>
        <v>-0.1015625</v>
      </c>
      <c r="H59" s="512">
        <f>'Pque N Mundo II'!K11</f>
        <v>1543</v>
      </c>
      <c r="I59" s="46">
        <f t="shared" si="49"/>
        <v>-7.2716346153846145E-2</v>
      </c>
      <c r="J59" s="526" t="e">
        <f>'Pque N Mundo II'!#REF!</f>
        <v>#REF!</v>
      </c>
      <c r="K59" s="47" t="e">
        <f t="shared" si="50"/>
        <v>#REF!</v>
      </c>
      <c r="L59" s="512">
        <f>'Pque N Mundo II'!M11</f>
        <v>1688</v>
      </c>
      <c r="M59" s="46">
        <f t="shared" si="51"/>
        <v>1.4423076923076872E-2</v>
      </c>
      <c r="N59" s="512">
        <f>'Pque N Mundo II'!O11</f>
        <v>1751</v>
      </c>
      <c r="O59" s="46">
        <f t="shared" si="52"/>
        <v>5.2283653846153744E-2</v>
      </c>
      <c r="P59" s="512">
        <f t="shared" si="53"/>
        <v>1688</v>
      </c>
      <c r="Q59" s="46">
        <f t="shared" si="54"/>
        <v>1.4423076923076872E-2</v>
      </c>
      <c r="R59" s="523">
        <f t="shared" si="55"/>
        <v>5127</v>
      </c>
      <c r="S59" s="47">
        <f t="shared" si="56"/>
        <v>2.7043269230769162E-2</v>
      </c>
    </row>
    <row r="60" spans="1:19" ht="15" customHeight="1" x14ac:dyDescent="0.25">
      <c r="A60">
        <v>4</v>
      </c>
      <c r="B60" s="49" t="s">
        <v>229</v>
      </c>
      <c r="C60" s="542">
        <v>1052</v>
      </c>
      <c r="D60" s="512">
        <f>'Pque N Mundo I'!G12+'Pque N Mundo II'!G14</f>
        <v>486</v>
      </c>
      <c r="E60" s="46">
        <f t="shared" si="47"/>
        <v>-0.53802281368821292</v>
      </c>
      <c r="F60" s="512">
        <f>'Pque N Mundo I'!I12+'Pque N Mundo II'!I14</f>
        <v>276</v>
      </c>
      <c r="G60" s="46">
        <f t="shared" si="48"/>
        <v>-0.73764258555133078</v>
      </c>
      <c r="H60" s="512">
        <f>'Pque N Mundo I'!K12+'Pque N Mundo II'!K14</f>
        <v>548</v>
      </c>
      <c r="I60" s="46">
        <f t="shared" si="49"/>
        <v>-0.47908745247148288</v>
      </c>
      <c r="J60" s="526" t="e">
        <f>'Pque N Mundo I'!#REF!+'Pque N Mundo II'!#REF!</f>
        <v>#REF!</v>
      </c>
      <c r="K60" s="47" t="e">
        <f t="shared" si="50"/>
        <v>#REF!</v>
      </c>
      <c r="L60" s="512">
        <f>'Pque N Mundo I'!M12+'Pque N Mundo II'!M14</f>
        <v>825</v>
      </c>
      <c r="M60" s="46">
        <f t="shared" si="51"/>
        <v>-0.21577946768060841</v>
      </c>
      <c r="N60" s="512">
        <f>'Pque N Mundo I'!O12+'Pque N Mundo II'!O14</f>
        <v>819</v>
      </c>
      <c r="O60" s="46">
        <f t="shared" si="52"/>
        <v>-0.22148288973384034</v>
      </c>
      <c r="P60" s="512">
        <f t="shared" si="53"/>
        <v>825</v>
      </c>
      <c r="Q60" s="46">
        <f t="shared" si="54"/>
        <v>-0.21577946768060841</v>
      </c>
      <c r="R60" s="523">
        <f t="shared" si="55"/>
        <v>2469</v>
      </c>
      <c r="S60" s="47">
        <f t="shared" si="56"/>
        <v>-0.21768060836501901</v>
      </c>
    </row>
    <row r="61" spans="1:19" ht="15" customHeight="1" x14ac:dyDescent="0.25">
      <c r="A61">
        <v>4</v>
      </c>
      <c r="B61" s="49" t="s">
        <v>230</v>
      </c>
      <c r="C61" s="542">
        <v>1052</v>
      </c>
      <c r="D61" s="512">
        <f>'Pque N Mundo I'!G15+'Pque N Mundo II'!G16</f>
        <v>803</v>
      </c>
      <c r="E61" s="46">
        <f t="shared" si="47"/>
        <v>-0.23669201520912553</v>
      </c>
      <c r="F61" s="512">
        <f>'Pque N Mundo I'!I15+'Pque N Mundo II'!I16</f>
        <v>845</v>
      </c>
      <c r="G61" s="46">
        <f t="shared" si="48"/>
        <v>-0.19676806083650189</v>
      </c>
      <c r="H61" s="512">
        <f>'Pque N Mundo I'!K15+'Pque N Mundo II'!K16</f>
        <v>854</v>
      </c>
      <c r="I61" s="46">
        <f t="shared" si="49"/>
        <v>-0.18821292775665399</v>
      </c>
      <c r="J61" s="526" t="e">
        <f>'Pque N Mundo I'!#REF!+'Pque N Mundo II'!#REF!</f>
        <v>#REF!</v>
      </c>
      <c r="K61" s="47" t="e">
        <f t="shared" si="50"/>
        <v>#REF!</v>
      </c>
      <c r="L61" s="512">
        <f>'Pque N Mundo I'!M15+'Pque N Mundo II'!M16</f>
        <v>893</v>
      </c>
      <c r="M61" s="46">
        <f t="shared" si="51"/>
        <v>-0.15114068441064643</v>
      </c>
      <c r="N61" s="512">
        <f>'Pque N Mundo I'!O15+'Pque N Mundo II'!O16</f>
        <v>886</v>
      </c>
      <c r="O61" s="46">
        <f t="shared" si="52"/>
        <v>-0.15779467680608361</v>
      </c>
      <c r="P61" s="512">
        <f t="shared" si="53"/>
        <v>893</v>
      </c>
      <c r="Q61" s="46">
        <f t="shared" si="54"/>
        <v>-0.15114068441064643</v>
      </c>
      <c r="R61" s="523">
        <f t="shared" si="55"/>
        <v>2672</v>
      </c>
      <c r="S61" s="47">
        <f t="shared" si="56"/>
        <v>-0.15335868187579216</v>
      </c>
    </row>
    <row r="62" spans="1:19" ht="15" customHeight="1" x14ac:dyDescent="0.25">
      <c r="A62">
        <v>4</v>
      </c>
      <c r="B62" s="49" t="s">
        <v>231</v>
      </c>
      <c r="C62" s="542">
        <v>1052</v>
      </c>
      <c r="D62" s="512">
        <f>'Pque N Mundo I'!G13+'Pque N Mundo II'!G15</f>
        <v>636</v>
      </c>
      <c r="E62" s="46">
        <f t="shared" si="47"/>
        <v>-0.3954372623574145</v>
      </c>
      <c r="F62" s="512">
        <f>'Pque N Mundo I'!I13+'Pque N Mundo II'!I15</f>
        <v>594</v>
      </c>
      <c r="G62" s="46">
        <f t="shared" si="48"/>
        <v>-0.43536121673003803</v>
      </c>
      <c r="H62" s="512">
        <f>'Pque N Mundo I'!K13+'Pque N Mundo II'!K15</f>
        <v>701</v>
      </c>
      <c r="I62" s="46">
        <f t="shared" si="49"/>
        <v>-0.33365019011406849</v>
      </c>
      <c r="J62" s="526" t="e">
        <f>'Pque N Mundo I'!#REF!+'Pque N Mundo II'!#REF!</f>
        <v>#REF!</v>
      </c>
      <c r="K62" s="47" t="e">
        <f t="shared" si="50"/>
        <v>#REF!</v>
      </c>
      <c r="L62" s="512">
        <f>'Pque N Mundo I'!M13+'Pque N Mundo II'!M15</f>
        <v>665</v>
      </c>
      <c r="M62" s="46">
        <f t="shared" si="51"/>
        <v>-0.36787072243346008</v>
      </c>
      <c r="N62" s="512">
        <f>'Pque N Mundo I'!O13+'Pque N Mundo II'!O15</f>
        <v>537</v>
      </c>
      <c r="O62" s="46">
        <f t="shared" si="52"/>
        <v>-0.48954372623574149</v>
      </c>
      <c r="P62" s="512">
        <f t="shared" si="53"/>
        <v>665</v>
      </c>
      <c r="Q62" s="46">
        <f t="shared" si="54"/>
        <v>-0.36787072243346008</v>
      </c>
      <c r="R62" s="523">
        <f t="shared" si="55"/>
        <v>1867</v>
      </c>
      <c r="S62" s="47">
        <f t="shared" si="56"/>
        <v>-0.40842839036755385</v>
      </c>
    </row>
    <row r="63" spans="1:19" ht="15" customHeight="1" x14ac:dyDescent="0.25">
      <c r="A63">
        <v>3</v>
      </c>
      <c r="B63" s="49" t="s">
        <v>232</v>
      </c>
      <c r="C63" s="542">
        <v>250</v>
      </c>
      <c r="D63" s="512">
        <f>'Pque N Mundo I'!G14</f>
        <v>265</v>
      </c>
      <c r="E63" s="46">
        <f t="shared" si="47"/>
        <v>6.0000000000000053E-2</v>
      </c>
      <c r="F63" s="512">
        <f>'Pque N Mundo I'!I14</f>
        <v>283</v>
      </c>
      <c r="G63" s="46">
        <f t="shared" si="48"/>
        <v>0.1319999999999999</v>
      </c>
      <c r="H63" s="512">
        <f>'Pque N Mundo I'!K14</f>
        <v>319</v>
      </c>
      <c r="I63" s="46">
        <f t="shared" si="49"/>
        <v>0.27600000000000002</v>
      </c>
      <c r="J63" s="526" t="e">
        <f>'Pque N Mundo I'!#REF!</f>
        <v>#REF!</v>
      </c>
      <c r="K63" s="47" t="e">
        <f t="shared" si="50"/>
        <v>#REF!</v>
      </c>
      <c r="L63" s="512">
        <f>'Pque N Mundo I'!M14</f>
        <v>395</v>
      </c>
      <c r="M63" s="46">
        <f t="shared" si="51"/>
        <v>0.58000000000000007</v>
      </c>
      <c r="N63" s="512">
        <f>'Pque N Mundo I'!O14</f>
        <v>288</v>
      </c>
      <c r="O63" s="46">
        <f t="shared" si="52"/>
        <v>0.15199999999999991</v>
      </c>
      <c r="P63" s="512">
        <f t="shared" si="53"/>
        <v>395</v>
      </c>
      <c r="Q63" s="46">
        <f t="shared" si="54"/>
        <v>0.58000000000000007</v>
      </c>
      <c r="R63" s="523">
        <f t="shared" si="55"/>
        <v>1078</v>
      </c>
      <c r="S63" s="47">
        <f t="shared" si="56"/>
        <v>0.43733333333333335</v>
      </c>
    </row>
    <row r="64" spans="1:19" ht="15" customHeight="1" x14ac:dyDescent="0.25">
      <c r="A64" t="s">
        <v>245</v>
      </c>
      <c r="B64" s="49" t="s">
        <v>246</v>
      </c>
      <c r="C64" s="542">
        <v>1221</v>
      </c>
      <c r="D64" s="512">
        <f>'Pque N Mundo I'!G10+'Pque N Mundo II'!G12</f>
        <v>1351</v>
      </c>
      <c r="E64" s="46">
        <f t="shared" si="47"/>
        <v>0.10647010647010657</v>
      </c>
      <c r="F64" s="512">
        <f>'Pque N Mundo I'!I10+'Pque N Mundo II'!I12</f>
        <v>1064</v>
      </c>
      <c r="G64" s="46">
        <f t="shared" si="48"/>
        <v>-0.12858312858312859</v>
      </c>
      <c r="H64" s="512">
        <f>'Pque N Mundo I'!K10+'Pque N Mundo II'!K12</f>
        <v>1081</v>
      </c>
      <c r="I64" s="46">
        <f t="shared" si="49"/>
        <v>-0.11466011466011461</v>
      </c>
      <c r="J64" s="526" t="e">
        <f>'Pque N Mundo I'!#REF!+'Pque N Mundo II'!#REF!</f>
        <v>#REF!</v>
      </c>
      <c r="K64" s="47" t="e">
        <f t="shared" si="50"/>
        <v>#REF!</v>
      </c>
      <c r="L64" s="512">
        <f>'Pque N Mundo I'!M10+'Pque N Mundo II'!M12</f>
        <v>1542</v>
      </c>
      <c r="M64" s="46">
        <f t="shared" si="51"/>
        <v>0.2628992628992628</v>
      </c>
      <c r="N64" s="512">
        <f>'Pque N Mundo I'!O10+'Pque N Mundo II'!O12</f>
        <v>1609</v>
      </c>
      <c r="O64" s="46">
        <f t="shared" si="52"/>
        <v>0.31777231777231774</v>
      </c>
      <c r="P64" s="512">
        <f t="shared" si="53"/>
        <v>1542</v>
      </c>
      <c r="Q64" s="46">
        <f t="shared" si="54"/>
        <v>0.2628992628992628</v>
      </c>
      <c r="R64" s="523">
        <f t="shared" si="55"/>
        <v>4693</v>
      </c>
      <c r="S64" s="47">
        <f t="shared" si="56"/>
        <v>0.28119028119028111</v>
      </c>
    </row>
    <row r="65" spans="1:19" s="528" customFormat="1" ht="31.5" customHeight="1" x14ac:dyDescent="0.25">
      <c r="B65" s="49" t="s">
        <v>247</v>
      </c>
      <c r="C65" s="543">
        <v>4884</v>
      </c>
      <c r="D65" s="529">
        <f>'Pque N Mundo I'!G11+'Pque N Mundo II'!G13</f>
        <v>4861</v>
      </c>
      <c r="E65" s="46">
        <f t="shared" si="47"/>
        <v>-4.7092547092547621E-3</v>
      </c>
      <c r="F65" s="529">
        <f>'Pque N Mundo I'!I11+'Pque N Mundo II'!I13</f>
        <v>3180</v>
      </c>
      <c r="G65" s="46">
        <f t="shared" si="48"/>
        <v>-0.34889434889434889</v>
      </c>
      <c r="H65" s="529">
        <f>'Pque N Mundo I'!K11+'Pque N Mundo II'!K13</f>
        <v>3991</v>
      </c>
      <c r="I65" s="46">
        <f t="shared" si="49"/>
        <v>-0.18284193284193284</v>
      </c>
      <c r="J65" s="530" t="e">
        <f>'Pque N Mundo I'!#REF!+'Pque N Mundo II'!#REF!</f>
        <v>#REF!</v>
      </c>
      <c r="K65" s="47" t="e">
        <f t="shared" si="50"/>
        <v>#REF!</v>
      </c>
      <c r="L65" s="529">
        <f>'Pque N Mundo I'!M11+'Pque N Mundo II'!M13</f>
        <v>4507</v>
      </c>
      <c r="M65" s="46">
        <f t="shared" si="51"/>
        <v>-7.7190827190827149E-2</v>
      </c>
      <c r="N65" s="529">
        <f>'Pque N Mundo I'!O11+'Pque N Mundo II'!O13</f>
        <v>4864</v>
      </c>
      <c r="O65" s="46">
        <f t="shared" si="52"/>
        <v>-4.0950040950040734E-3</v>
      </c>
      <c r="P65" s="529">
        <f t="shared" si="53"/>
        <v>4507</v>
      </c>
      <c r="Q65" s="46">
        <f t="shared" si="54"/>
        <v>-7.7190827190827149E-2</v>
      </c>
      <c r="R65" s="523">
        <f t="shared" si="55"/>
        <v>13878</v>
      </c>
      <c r="S65" s="47">
        <f t="shared" si="56"/>
        <v>-5.2825552825552791E-2</v>
      </c>
    </row>
    <row r="66" spans="1:19" ht="15" customHeight="1" x14ac:dyDescent="0.25">
      <c r="B66" s="685" t="s">
        <v>248</v>
      </c>
      <c r="C66" s="686"/>
      <c r="D66" s="686"/>
      <c r="E66" s="686"/>
      <c r="F66" s="686"/>
      <c r="G66" s="686"/>
      <c r="H66" s="687"/>
      <c r="I66" s="687"/>
      <c r="J66" s="686"/>
      <c r="K66" s="686"/>
      <c r="L66" s="686"/>
      <c r="M66" s="688"/>
    </row>
    <row r="67" spans="1:19" ht="15" customHeight="1" x14ac:dyDescent="0.25">
      <c r="A67" t="s">
        <v>249</v>
      </c>
      <c r="B67" s="48" t="s">
        <v>250</v>
      </c>
      <c r="C67" s="542" t="s">
        <v>251</v>
      </c>
      <c r="D67" s="513"/>
      <c r="E67" s="513"/>
      <c r="F67" s="513"/>
      <c r="G67" s="513"/>
      <c r="H67" s="513"/>
      <c r="I67" s="513"/>
      <c r="J67" s="527"/>
      <c r="K67" s="513"/>
      <c r="L67" s="513"/>
      <c r="M67" s="513"/>
      <c r="N67" s="513"/>
      <c r="O67" s="513"/>
      <c r="P67" s="513"/>
      <c r="Q67" s="513"/>
      <c r="R67" s="527"/>
      <c r="S67" s="513"/>
    </row>
    <row r="68" spans="1:19" ht="15" customHeight="1" x14ac:dyDescent="0.25">
      <c r="A68" t="s">
        <v>252</v>
      </c>
      <c r="B68" s="48" t="s">
        <v>253</v>
      </c>
      <c r="C68" s="542" t="s">
        <v>251</v>
      </c>
      <c r="D68" s="513"/>
      <c r="E68" s="513"/>
      <c r="F68" s="513"/>
      <c r="G68" s="513"/>
      <c r="H68" s="513"/>
      <c r="I68" s="513"/>
      <c r="J68" s="527"/>
      <c r="K68" s="513"/>
      <c r="L68" s="513"/>
      <c r="M68" s="513"/>
      <c r="N68" s="513"/>
      <c r="O68" s="513"/>
      <c r="P68" s="513"/>
      <c r="Q68" s="513"/>
      <c r="R68" s="527"/>
      <c r="S68" s="513"/>
    </row>
    <row r="69" spans="1:19" x14ac:dyDescent="0.25">
      <c r="A69" t="s">
        <v>254</v>
      </c>
      <c r="B69" s="680" t="s">
        <v>255</v>
      </c>
      <c r="C69" s="680"/>
      <c r="D69" s="680"/>
      <c r="E69" s="680"/>
      <c r="F69" s="680"/>
      <c r="G69" s="680"/>
      <c r="H69" s="681"/>
      <c r="I69" s="681"/>
      <c r="J69" s="680"/>
      <c r="K69" s="680"/>
      <c r="L69" s="680"/>
      <c r="M69" s="680"/>
    </row>
    <row r="70" spans="1:19" ht="15" customHeight="1" x14ac:dyDescent="0.25">
      <c r="A70" t="s">
        <v>256</v>
      </c>
      <c r="B70" s="49" t="s">
        <v>257</v>
      </c>
      <c r="C70" s="538">
        <v>528</v>
      </c>
      <c r="D70" s="508">
        <f>'URSI CARANDIRU'!G7</f>
        <v>251</v>
      </c>
      <c r="E70" s="46">
        <f t="shared" ref="E70:E76" si="57">((D70/$C70))-1</f>
        <v>-0.52462121212121215</v>
      </c>
      <c r="F70" s="508">
        <f>'URSI CARANDIRU'!I7</f>
        <v>226</v>
      </c>
      <c r="G70" s="46">
        <f t="shared" ref="G70:G76" si="58">((F70/$C70))-1</f>
        <v>-0.57196969696969702</v>
      </c>
      <c r="H70" s="508">
        <f>'URSI CARANDIRU'!K7</f>
        <v>241</v>
      </c>
      <c r="I70" s="46">
        <f t="shared" ref="I70:I76" si="59">((H70/$C70))-1</f>
        <v>-0.54356060606060608</v>
      </c>
      <c r="J70" s="523" t="e">
        <f>'URSI CARANDIRU'!#REF!</f>
        <v>#REF!</v>
      </c>
      <c r="K70" s="47" t="e">
        <f t="shared" ref="K70:K76" si="60">((J70/(C70*3)))-1</f>
        <v>#REF!</v>
      </c>
      <c r="L70" s="508">
        <f>'URSI CARANDIRU'!M7</f>
        <v>291</v>
      </c>
      <c r="M70" s="46">
        <f t="shared" ref="M70:M76" si="61">((L70/$C70))-1</f>
        <v>-0.44886363636363635</v>
      </c>
      <c r="N70" s="508">
        <f>'URSI CARANDIRU'!O7</f>
        <v>210</v>
      </c>
      <c r="O70" s="46">
        <f t="shared" ref="O70:O76" si="62">((N70/$C70))-1</f>
        <v>-0.60227272727272729</v>
      </c>
      <c r="P70" s="508">
        <f>'URSI CARANDIRU'!Q7</f>
        <v>289</v>
      </c>
      <c r="Q70" s="46">
        <f t="shared" ref="Q70:Q76" si="63">((P70/$C70))-1</f>
        <v>-0.45265151515151514</v>
      </c>
      <c r="R70" s="523">
        <f t="shared" ref="R70:R76" si="64">SUM(L70,N70,P70)</f>
        <v>790</v>
      </c>
      <c r="S70" s="47">
        <f t="shared" ref="S70:S76" si="65">((R70/(C70*3)))-1</f>
        <v>-0.5012626262626263</v>
      </c>
    </row>
    <row r="71" spans="1:19" ht="15" customHeight="1" x14ac:dyDescent="0.25">
      <c r="A71">
        <v>1</v>
      </c>
      <c r="B71" s="49" t="s">
        <v>258</v>
      </c>
      <c r="C71" s="538">
        <v>100</v>
      </c>
      <c r="D71" s="508">
        <f>'URSI CARANDIRU'!G10</f>
        <v>84</v>
      </c>
      <c r="E71" s="46">
        <f t="shared" si="57"/>
        <v>-0.16000000000000003</v>
      </c>
      <c r="F71" s="508">
        <f>'URSI CARANDIRU'!I10</f>
        <v>104</v>
      </c>
      <c r="G71" s="46">
        <f t="shared" si="58"/>
        <v>4.0000000000000036E-2</v>
      </c>
      <c r="H71" s="508">
        <f>'URSI CARANDIRU'!K10</f>
        <v>57</v>
      </c>
      <c r="I71" s="46">
        <f t="shared" si="59"/>
        <v>-0.43000000000000005</v>
      </c>
      <c r="J71" s="523" t="e">
        <f>'URSI CARANDIRU'!#REF!</f>
        <v>#REF!</v>
      </c>
      <c r="K71" s="47" t="e">
        <f t="shared" si="60"/>
        <v>#REF!</v>
      </c>
      <c r="L71" s="508">
        <f>'URSI CARANDIRU'!M10</f>
        <v>0</v>
      </c>
      <c r="M71" s="46">
        <f t="shared" si="61"/>
        <v>-1</v>
      </c>
      <c r="N71" s="508">
        <f>'URSI CARANDIRU'!O10</f>
        <v>42</v>
      </c>
      <c r="O71" s="46">
        <f t="shared" si="62"/>
        <v>-0.58000000000000007</v>
      </c>
      <c r="P71" s="508">
        <f>'URSI CARANDIRU'!Q10</f>
        <v>127</v>
      </c>
      <c r="Q71" s="46">
        <f t="shared" si="63"/>
        <v>0.27</v>
      </c>
      <c r="R71" s="523">
        <f t="shared" si="64"/>
        <v>169</v>
      </c>
      <c r="S71" s="47">
        <f t="shared" si="65"/>
        <v>-0.43666666666666665</v>
      </c>
    </row>
    <row r="72" spans="1:19" ht="15" customHeight="1" x14ac:dyDescent="0.25">
      <c r="A72">
        <v>1</v>
      </c>
      <c r="B72" s="50" t="s">
        <v>259</v>
      </c>
      <c r="C72" s="538">
        <v>100</v>
      </c>
      <c r="D72" s="508">
        <f>'URSI CARANDIRU'!G13</f>
        <v>8</v>
      </c>
      <c r="E72" s="46">
        <f t="shared" si="57"/>
        <v>-0.92</v>
      </c>
      <c r="F72" s="508">
        <f>'URSI CARANDIRU'!I13</f>
        <v>20</v>
      </c>
      <c r="G72" s="46">
        <f t="shared" si="58"/>
        <v>-0.8</v>
      </c>
      <c r="H72" s="508">
        <f>'URSI CARANDIRU'!K13</f>
        <v>86</v>
      </c>
      <c r="I72" s="46">
        <f t="shared" si="59"/>
        <v>-0.14000000000000001</v>
      </c>
      <c r="J72" s="523" t="e">
        <f>'URSI CARANDIRU'!#REF!</f>
        <v>#REF!</v>
      </c>
      <c r="K72" s="47" t="e">
        <f t="shared" si="60"/>
        <v>#REF!</v>
      </c>
      <c r="L72" s="508">
        <f>'URSI CARANDIRU'!M13</f>
        <v>68</v>
      </c>
      <c r="M72" s="46">
        <f t="shared" si="61"/>
        <v>-0.31999999999999995</v>
      </c>
      <c r="N72" s="508">
        <f>'URSI CARANDIRU'!O13</f>
        <v>100</v>
      </c>
      <c r="O72" s="46">
        <f t="shared" si="62"/>
        <v>0</v>
      </c>
      <c r="P72" s="508">
        <f>'URSI CARANDIRU'!Q13</f>
        <v>38</v>
      </c>
      <c r="Q72" s="46">
        <f t="shared" si="63"/>
        <v>-0.62</v>
      </c>
      <c r="R72" s="523">
        <f t="shared" si="64"/>
        <v>206</v>
      </c>
      <c r="S72" s="47">
        <f t="shared" si="65"/>
        <v>-0.31333333333333335</v>
      </c>
    </row>
    <row r="73" spans="1:19" ht="15" customHeight="1" x14ac:dyDescent="0.25">
      <c r="A73">
        <v>2</v>
      </c>
      <c r="B73" s="49" t="s">
        <v>260</v>
      </c>
      <c r="C73" s="538">
        <v>264</v>
      </c>
      <c r="D73" s="508">
        <f>'URSI CARANDIRU'!G9</f>
        <v>319</v>
      </c>
      <c r="E73" s="46">
        <f t="shared" si="57"/>
        <v>0.20833333333333326</v>
      </c>
      <c r="F73" s="508">
        <f>'URSI CARANDIRU'!I9</f>
        <v>256</v>
      </c>
      <c r="G73" s="46">
        <f t="shared" si="58"/>
        <v>-3.0303030303030276E-2</v>
      </c>
      <c r="H73" s="508">
        <f>'URSI CARANDIRU'!K9</f>
        <v>260</v>
      </c>
      <c r="I73" s="46">
        <f t="shared" si="59"/>
        <v>-1.5151515151515138E-2</v>
      </c>
      <c r="J73" s="523" t="e">
        <f>'URSI CARANDIRU'!#REF!</f>
        <v>#REF!</v>
      </c>
      <c r="K73" s="47" t="e">
        <f t="shared" si="60"/>
        <v>#REF!</v>
      </c>
      <c r="L73" s="508">
        <f>'URSI CARANDIRU'!M9</f>
        <v>174</v>
      </c>
      <c r="M73" s="46">
        <f t="shared" si="61"/>
        <v>-0.34090909090909094</v>
      </c>
      <c r="N73" s="508">
        <f>'URSI CARANDIRU'!O9</f>
        <v>266</v>
      </c>
      <c r="O73" s="46">
        <f t="shared" si="62"/>
        <v>7.575757575757569E-3</v>
      </c>
      <c r="P73" s="508">
        <f>'URSI CARANDIRU'!Q9</f>
        <v>303</v>
      </c>
      <c r="Q73" s="46">
        <f t="shared" si="63"/>
        <v>0.14772727272727271</v>
      </c>
      <c r="R73" s="523">
        <f t="shared" si="64"/>
        <v>743</v>
      </c>
      <c r="S73" s="47">
        <f t="shared" si="65"/>
        <v>-6.1868686868686851E-2</v>
      </c>
    </row>
    <row r="74" spans="1:19" ht="15" customHeight="1" x14ac:dyDescent="0.25">
      <c r="A74">
        <v>2</v>
      </c>
      <c r="B74" s="49" t="s">
        <v>261</v>
      </c>
      <c r="C74" s="538">
        <v>176</v>
      </c>
      <c r="D74" s="508">
        <f>'URSI CARANDIRU'!G8</f>
        <v>209</v>
      </c>
      <c r="E74" s="46">
        <f t="shared" si="57"/>
        <v>0.1875</v>
      </c>
      <c r="F74" s="508">
        <f>'URSI CARANDIRU'!I8</f>
        <v>154</v>
      </c>
      <c r="G74" s="46">
        <f t="shared" si="58"/>
        <v>-0.125</v>
      </c>
      <c r="H74" s="508">
        <f>'URSI CARANDIRU'!K8</f>
        <v>198</v>
      </c>
      <c r="I74" s="46">
        <f t="shared" si="59"/>
        <v>0.125</v>
      </c>
      <c r="J74" s="523" t="e">
        <f>'URSI CARANDIRU'!#REF!</f>
        <v>#REF!</v>
      </c>
      <c r="K74" s="47" t="e">
        <f t="shared" si="60"/>
        <v>#REF!</v>
      </c>
      <c r="L74" s="508">
        <f>'URSI CARANDIRU'!M8</f>
        <v>202</v>
      </c>
      <c r="M74" s="46">
        <f t="shared" si="61"/>
        <v>0.14772727272727271</v>
      </c>
      <c r="N74" s="508">
        <f>'URSI CARANDIRU'!O8</f>
        <v>192</v>
      </c>
      <c r="O74" s="46">
        <f t="shared" si="62"/>
        <v>9.0909090909090828E-2</v>
      </c>
      <c r="P74" s="508">
        <f>'URSI CARANDIRU'!Q8</f>
        <v>147</v>
      </c>
      <c r="Q74" s="46">
        <f t="shared" si="63"/>
        <v>-0.16477272727272729</v>
      </c>
      <c r="R74" s="523">
        <f t="shared" si="64"/>
        <v>541</v>
      </c>
      <c r="S74" s="47">
        <f t="shared" si="65"/>
        <v>2.4621212121212155E-2</v>
      </c>
    </row>
    <row r="75" spans="1:19" ht="15" customHeight="1" x14ac:dyDescent="0.25">
      <c r="A75">
        <v>1</v>
      </c>
      <c r="B75" s="50" t="s">
        <v>262</v>
      </c>
      <c r="C75" s="538">
        <v>100</v>
      </c>
      <c r="D75" s="508">
        <f>'URSI CARANDIRU'!G11</f>
        <v>15</v>
      </c>
      <c r="E75" s="46">
        <f t="shared" si="57"/>
        <v>-0.85</v>
      </c>
      <c r="F75" s="508">
        <f>'URSI CARANDIRU'!I11</f>
        <v>96</v>
      </c>
      <c r="G75" s="46">
        <f t="shared" si="58"/>
        <v>-4.0000000000000036E-2</v>
      </c>
      <c r="H75" s="508">
        <f>'URSI CARANDIRU'!K11</f>
        <v>110</v>
      </c>
      <c r="I75" s="46">
        <f t="shared" si="59"/>
        <v>0.10000000000000009</v>
      </c>
      <c r="J75" s="523" t="e">
        <f>'URSI CARANDIRU'!#REF!</f>
        <v>#REF!</v>
      </c>
      <c r="K75" s="47" t="e">
        <f t="shared" si="60"/>
        <v>#REF!</v>
      </c>
      <c r="L75" s="508">
        <f>'URSI CARANDIRU'!M11</f>
        <v>15</v>
      </c>
      <c r="M75" s="46">
        <f t="shared" si="61"/>
        <v>-0.85</v>
      </c>
      <c r="N75" s="508">
        <f>'URSI CARANDIRU'!O11</f>
        <v>100</v>
      </c>
      <c r="O75" s="46">
        <f t="shared" si="62"/>
        <v>0</v>
      </c>
      <c r="P75" s="508">
        <f>'URSI CARANDIRU'!Q11</f>
        <v>114</v>
      </c>
      <c r="Q75" s="46">
        <f t="shared" si="63"/>
        <v>0.1399999999999999</v>
      </c>
      <c r="R75" s="523">
        <f t="shared" si="64"/>
        <v>229</v>
      </c>
      <c r="S75" s="47">
        <f t="shared" si="65"/>
        <v>-0.23666666666666669</v>
      </c>
    </row>
    <row r="76" spans="1:19" ht="15" customHeight="1" x14ac:dyDescent="0.25">
      <c r="A76">
        <v>1</v>
      </c>
      <c r="B76" s="49" t="s">
        <v>263</v>
      </c>
      <c r="C76" s="538">
        <v>100</v>
      </c>
      <c r="D76" s="508">
        <f>'URSI CARANDIRU'!G12</f>
        <v>36</v>
      </c>
      <c r="E76" s="46">
        <f t="shared" si="57"/>
        <v>-0.64</v>
      </c>
      <c r="F76" s="508">
        <f>'URSI CARANDIRU'!I12</f>
        <v>73</v>
      </c>
      <c r="G76" s="46">
        <f t="shared" si="58"/>
        <v>-0.27</v>
      </c>
      <c r="H76" s="508">
        <f>'URSI CARANDIRU'!K12</f>
        <v>21</v>
      </c>
      <c r="I76" s="46">
        <f t="shared" si="59"/>
        <v>-0.79</v>
      </c>
      <c r="J76" s="523" t="e">
        <f>'URSI CARANDIRU'!#REF!</f>
        <v>#REF!</v>
      </c>
      <c r="K76" s="47" t="e">
        <f t="shared" si="60"/>
        <v>#REF!</v>
      </c>
      <c r="L76" s="508">
        <f>'URSI CARANDIRU'!M12</f>
        <v>45</v>
      </c>
      <c r="M76" s="46">
        <f t="shared" si="61"/>
        <v>-0.55000000000000004</v>
      </c>
      <c r="N76" s="508">
        <f>'URSI CARANDIRU'!O12</f>
        <v>95</v>
      </c>
      <c r="O76" s="46">
        <f t="shared" si="62"/>
        <v>-5.0000000000000044E-2</v>
      </c>
      <c r="P76" s="508">
        <f>'URSI CARANDIRU'!Q12</f>
        <v>151</v>
      </c>
      <c r="Q76" s="46">
        <f t="shared" si="63"/>
        <v>0.51</v>
      </c>
      <c r="R76" s="523">
        <f t="shared" si="64"/>
        <v>291</v>
      </c>
      <c r="S76" s="47">
        <f t="shared" si="65"/>
        <v>-3.0000000000000027E-2</v>
      </c>
    </row>
    <row r="77" spans="1:19" x14ac:dyDescent="0.25">
      <c r="A77" s="38" t="s">
        <v>264</v>
      </c>
      <c r="B77" s="33"/>
      <c r="C77" s="446"/>
      <c r="D77" s="35"/>
      <c r="E77" s="35"/>
      <c r="F77" s="35"/>
      <c r="G77" s="35"/>
      <c r="H77" s="35"/>
      <c r="I77" s="35"/>
      <c r="J77" s="446"/>
      <c r="K77" s="35"/>
      <c r="L77" s="35"/>
      <c r="M77" s="35"/>
      <c r="N77" s="35"/>
      <c r="O77" s="35"/>
      <c r="P77" s="35"/>
      <c r="Q77" s="35"/>
      <c r="R77" s="446"/>
      <c r="S77" s="35"/>
    </row>
  </sheetData>
  <sheetProtection sheet="1" objects="1" scenarios="1"/>
  <mergeCells count="16">
    <mergeCell ref="B43:M43"/>
    <mergeCell ref="B53:M53"/>
    <mergeCell ref="B66:M66"/>
    <mergeCell ref="B69:M69"/>
    <mergeCell ref="B17:M17"/>
    <mergeCell ref="B25:M25"/>
    <mergeCell ref="B27:M27"/>
    <mergeCell ref="B30:M30"/>
    <mergeCell ref="B32:M32"/>
    <mergeCell ref="B34:M34"/>
    <mergeCell ref="B5:M5"/>
    <mergeCell ref="A1:M1"/>
    <mergeCell ref="A2:M2"/>
    <mergeCell ref="B3:B4"/>
    <mergeCell ref="C3:C4"/>
    <mergeCell ref="D3:M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P30"/>
  <sheetViews>
    <sheetView workbookViewId="0">
      <selection activeCell="A5" sqref="A5"/>
    </sheetView>
  </sheetViews>
  <sheetFormatPr defaultRowHeight="15" x14ac:dyDescent="0.25"/>
  <cols>
    <col min="1" max="1" width="62" bestFit="1" customWidth="1"/>
    <col min="2" max="2" width="12.7109375" bestFit="1" customWidth="1"/>
    <col min="3" max="10" width="7.5703125" bestFit="1" customWidth="1"/>
    <col min="11" max="11" width="12.28515625" bestFit="1" customWidth="1"/>
    <col min="12" max="12" width="6.140625" bestFit="1" customWidth="1"/>
    <col min="13" max="13" width="7" bestFit="1" customWidth="1"/>
    <col min="14" max="14" width="19.7109375" customWidth="1"/>
  </cols>
  <sheetData>
    <row r="2" spans="1:16" x14ac:dyDescent="0.25">
      <c r="A2" s="689" t="s">
        <v>81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O2" s="690"/>
      <c r="P2" s="690"/>
    </row>
    <row r="3" spans="1:16" x14ac:dyDescent="0.25">
      <c r="A3" s="303" t="s">
        <v>67</v>
      </c>
      <c r="B3" s="304">
        <v>42248</v>
      </c>
      <c r="C3" s="305">
        <v>42278</v>
      </c>
      <c r="D3" s="304">
        <v>42309</v>
      </c>
      <c r="E3" s="305">
        <v>42339</v>
      </c>
      <c r="F3" s="304">
        <v>42370</v>
      </c>
      <c r="G3" s="305">
        <v>42401</v>
      </c>
      <c r="H3" s="304">
        <v>42430</v>
      </c>
      <c r="I3" s="305">
        <v>42461</v>
      </c>
      <c r="J3" s="304">
        <v>42491</v>
      </c>
      <c r="K3" s="305">
        <v>42522</v>
      </c>
      <c r="L3" s="305">
        <v>42186</v>
      </c>
      <c r="M3" s="305">
        <v>42217</v>
      </c>
      <c r="O3" s="306"/>
      <c r="P3" s="306"/>
    </row>
    <row r="4" spans="1:16" ht="30" x14ac:dyDescent="0.25">
      <c r="A4" s="307" t="s">
        <v>70</v>
      </c>
      <c r="B4" s="308"/>
      <c r="C4" s="309"/>
      <c r="D4" s="308"/>
      <c r="E4" s="310">
        <v>20</v>
      </c>
      <c r="F4" s="311">
        <v>20</v>
      </c>
      <c r="G4" s="311">
        <v>20</v>
      </c>
      <c r="H4" s="311">
        <v>20</v>
      </c>
      <c r="I4" s="311">
        <v>40</v>
      </c>
      <c r="J4" s="312">
        <v>20</v>
      </c>
      <c r="K4" s="311">
        <v>20</v>
      </c>
      <c r="L4" s="311">
        <v>20</v>
      </c>
      <c r="M4" s="311">
        <v>20</v>
      </c>
      <c r="O4" s="313"/>
      <c r="P4" s="306"/>
    </row>
    <row r="5" spans="1:16" ht="30" x14ac:dyDescent="0.25">
      <c r="A5" s="307" t="s">
        <v>71</v>
      </c>
      <c r="B5" s="308"/>
      <c r="C5" s="309"/>
      <c r="D5" s="308"/>
      <c r="E5" s="311">
        <v>40</v>
      </c>
      <c r="F5" s="314"/>
      <c r="G5" s="314"/>
      <c r="H5" s="311">
        <v>40</v>
      </c>
      <c r="I5" s="315"/>
      <c r="J5" s="308"/>
      <c r="K5" s="311">
        <v>40</v>
      </c>
      <c r="L5" s="316"/>
      <c r="M5" s="316"/>
    </row>
    <row r="6" spans="1:16" ht="25.5" customHeight="1" x14ac:dyDescent="0.25">
      <c r="A6" s="307" t="s">
        <v>72</v>
      </c>
      <c r="B6" s="308"/>
      <c r="C6" s="309"/>
      <c r="D6" s="308"/>
      <c r="E6" s="309"/>
      <c r="F6" s="308"/>
      <c r="G6" s="309"/>
      <c r="H6" s="308"/>
      <c r="I6" s="315"/>
      <c r="J6" s="317">
        <v>60</v>
      </c>
      <c r="K6" s="309"/>
      <c r="L6" s="316"/>
      <c r="M6" s="316"/>
    </row>
    <row r="7" spans="1:16" ht="45" x14ac:dyDescent="0.25">
      <c r="A7" s="307" t="s">
        <v>73</v>
      </c>
      <c r="B7" s="308"/>
      <c r="C7" s="309"/>
      <c r="D7" s="308"/>
      <c r="E7" s="309"/>
      <c r="F7" s="308"/>
      <c r="G7" s="317">
        <v>60</v>
      </c>
      <c r="H7" s="308"/>
      <c r="I7" s="315"/>
      <c r="J7" s="308"/>
      <c r="K7" s="309"/>
      <c r="L7" s="316"/>
      <c r="M7" s="311">
        <v>60</v>
      </c>
    </row>
    <row r="8" spans="1:16" ht="45" x14ac:dyDescent="0.25">
      <c r="A8" s="307" t="s">
        <v>74</v>
      </c>
      <c r="B8" s="308"/>
      <c r="C8" s="309"/>
      <c r="D8" s="308"/>
      <c r="E8" s="309"/>
      <c r="F8" s="317">
        <v>60</v>
      </c>
      <c r="G8" s="309"/>
      <c r="H8" s="308"/>
      <c r="I8" s="317">
        <v>40</v>
      </c>
      <c r="J8" s="308"/>
      <c r="K8" s="309"/>
      <c r="L8" s="311">
        <v>60</v>
      </c>
      <c r="M8" s="316"/>
    </row>
    <row r="9" spans="1:16" ht="30" x14ac:dyDescent="0.25">
      <c r="A9" s="307" t="s">
        <v>75</v>
      </c>
      <c r="B9" s="308"/>
      <c r="C9" s="309"/>
      <c r="D9" s="308"/>
      <c r="E9" s="317">
        <v>20</v>
      </c>
      <c r="F9" s="308"/>
      <c r="G9" s="309"/>
      <c r="H9" s="317">
        <v>40</v>
      </c>
      <c r="I9" s="315"/>
      <c r="J9" s="308"/>
      <c r="K9" s="311">
        <v>40</v>
      </c>
      <c r="L9" s="316"/>
      <c r="M9" s="316"/>
    </row>
    <row r="10" spans="1:16" ht="30" x14ac:dyDescent="0.25">
      <c r="A10" s="307" t="s">
        <v>76</v>
      </c>
      <c r="B10" s="308"/>
      <c r="C10" s="309"/>
      <c r="D10" s="308"/>
      <c r="E10" s="317">
        <v>20</v>
      </c>
      <c r="F10" s="308"/>
      <c r="G10" s="317">
        <v>20</v>
      </c>
      <c r="H10" s="308"/>
      <c r="I10" s="315"/>
      <c r="J10" s="317">
        <v>20</v>
      </c>
      <c r="K10" s="309"/>
      <c r="L10" s="316"/>
      <c r="M10" s="311">
        <v>20</v>
      </c>
    </row>
    <row r="11" spans="1:16" x14ac:dyDescent="0.25">
      <c r="A11" s="307" t="s">
        <v>77</v>
      </c>
      <c r="B11" s="308"/>
      <c r="C11" s="309"/>
      <c r="D11" s="308"/>
      <c r="E11" s="318"/>
      <c r="F11" s="317">
        <v>20</v>
      </c>
      <c r="G11" s="318"/>
      <c r="H11" s="319"/>
      <c r="I11" s="317">
        <v>20</v>
      </c>
      <c r="J11" s="319"/>
      <c r="K11" s="318"/>
      <c r="L11" s="320">
        <v>20</v>
      </c>
      <c r="M11" s="321"/>
    </row>
    <row r="12" spans="1:16" x14ac:dyDescent="0.25">
      <c r="A12" s="322" t="s">
        <v>7</v>
      </c>
      <c r="B12" s="323"/>
      <c r="C12" s="324"/>
      <c r="D12" s="323"/>
      <c r="E12" s="311">
        <f t="shared" ref="E12:M12" si="0">SUM(E4:E11)</f>
        <v>100</v>
      </c>
      <c r="F12" s="311">
        <f t="shared" si="0"/>
        <v>100</v>
      </c>
      <c r="G12" s="311">
        <f t="shared" si="0"/>
        <v>100</v>
      </c>
      <c r="H12" s="311">
        <f t="shared" si="0"/>
        <v>100</v>
      </c>
      <c r="I12" s="311">
        <f t="shared" si="0"/>
        <v>100</v>
      </c>
      <c r="J12" s="311">
        <f t="shared" si="0"/>
        <v>100</v>
      </c>
      <c r="K12" s="311">
        <f t="shared" si="0"/>
        <v>100</v>
      </c>
      <c r="L12" s="311">
        <f t="shared" si="0"/>
        <v>100</v>
      </c>
      <c r="M12" s="311">
        <f t="shared" si="0"/>
        <v>100</v>
      </c>
    </row>
    <row r="14" spans="1:16" ht="15.75" thickBot="1" x14ac:dyDescent="0.3">
      <c r="B14" s="325"/>
    </row>
    <row r="15" spans="1:16" x14ac:dyDescent="0.25">
      <c r="A15" s="326" t="s">
        <v>296</v>
      </c>
      <c r="B15" s="327">
        <v>99345757.459999993</v>
      </c>
    </row>
    <row r="16" spans="1:16" x14ac:dyDescent="0.25">
      <c r="A16" s="328" t="s">
        <v>297</v>
      </c>
      <c r="B16" s="329">
        <f>B15/12</f>
        <v>8278813.1216666661</v>
      </c>
    </row>
    <row r="17" spans="1:11" x14ac:dyDescent="0.25">
      <c r="A17" s="328" t="s">
        <v>298</v>
      </c>
      <c r="B17" s="330">
        <f>B15*5%</f>
        <v>4967287.8729999997</v>
      </c>
    </row>
    <row r="18" spans="1:11" ht="15.75" thickBot="1" x14ac:dyDescent="0.3">
      <c r="A18" s="331" t="s">
        <v>299</v>
      </c>
      <c r="B18" s="332">
        <f>B17/12</f>
        <v>413940.65608333331</v>
      </c>
    </row>
    <row r="19" spans="1:11" x14ac:dyDescent="0.25">
      <c r="A19" s="333"/>
      <c r="B19" s="334"/>
    </row>
    <row r="20" spans="1:11" ht="15.75" thickBot="1" x14ac:dyDescent="0.3">
      <c r="A20" s="335" t="s">
        <v>300</v>
      </c>
    </row>
    <row r="21" spans="1:11" x14ac:dyDescent="0.25">
      <c r="A21" s="336" t="s">
        <v>67</v>
      </c>
      <c r="B21" s="337">
        <v>42339</v>
      </c>
      <c r="C21" s="338">
        <v>42370</v>
      </c>
      <c r="D21" s="337">
        <v>42401</v>
      </c>
      <c r="E21" s="338">
        <v>42430</v>
      </c>
      <c r="F21" s="337">
        <v>42461</v>
      </c>
      <c r="G21" s="338">
        <v>42491</v>
      </c>
      <c r="H21" s="337">
        <v>42522</v>
      </c>
      <c r="I21" s="337">
        <v>42186</v>
      </c>
      <c r="J21" s="337">
        <v>42217</v>
      </c>
      <c r="K21" s="339" t="s">
        <v>301</v>
      </c>
    </row>
    <row r="22" spans="1:11" ht="30" x14ac:dyDescent="0.25">
      <c r="A22" s="340" t="s">
        <v>70</v>
      </c>
      <c r="B22" s="310">
        <v>82788.13</v>
      </c>
      <c r="C22" s="310">
        <f>B18*20%</f>
        <v>82788.131216666661</v>
      </c>
      <c r="D22" s="310">
        <f>B18*20%</f>
        <v>82788.131216666661</v>
      </c>
      <c r="E22" s="310">
        <v>82788</v>
      </c>
      <c r="F22" s="310">
        <f>B18*40%</f>
        <v>165576.26243333332</v>
      </c>
      <c r="G22" s="341">
        <v>82788</v>
      </c>
      <c r="H22" s="341">
        <v>82788</v>
      </c>
      <c r="I22" s="341">
        <v>82788</v>
      </c>
      <c r="J22" s="341">
        <v>82788</v>
      </c>
      <c r="K22" s="342">
        <v>1</v>
      </c>
    </row>
    <row r="23" spans="1:11" ht="30" x14ac:dyDescent="0.25">
      <c r="A23" s="340" t="s">
        <v>71</v>
      </c>
      <c r="B23" s="310">
        <v>165576.26243333332</v>
      </c>
      <c r="C23" s="314"/>
      <c r="D23" s="314"/>
      <c r="E23" s="310">
        <v>165576.26243333332</v>
      </c>
      <c r="F23" s="315"/>
      <c r="G23" s="308"/>
      <c r="H23" s="310">
        <v>165576.26243333332</v>
      </c>
      <c r="I23" s="316"/>
      <c r="J23" s="316"/>
      <c r="K23" s="342">
        <v>0.9</v>
      </c>
    </row>
    <row r="24" spans="1:11" x14ac:dyDescent="0.25">
      <c r="A24" s="340" t="s">
        <v>72</v>
      </c>
      <c r="B24" s="309"/>
      <c r="C24" s="308"/>
      <c r="D24" s="309"/>
      <c r="E24" s="308"/>
      <c r="F24" s="315"/>
      <c r="G24" s="343">
        <f>B18*60%</f>
        <v>248364.39364999998</v>
      </c>
      <c r="H24" s="309"/>
      <c r="I24" s="316"/>
      <c r="J24" s="316"/>
      <c r="K24" s="342">
        <v>1</v>
      </c>
    </row>
    <row r="25" spans="1:11" ht="45" x14ac:dyDescent="0.25">
      <c r="A25" s="340" t="s">
        <v>73</v>
      </c>
      <c r="B25" s="309"/>
      <c r="C25" s="308"/>
      <c r="D25" s="343">
        <v>248364</v>
      </c>
      <c r="E25" s="308"/>
      <c r="F25" s="315"/>
      <c r="G25" s="308"/>
      <c r="H25" s="309"/>
      <c r="I25" s="316"/>
      <c r="J25" s="310">
        <v>248364</v>
      </c>
      <c r="K25" s="342">
        <v>0.9</v>
      </c>
    </row>
    <row r="26" spans="1:11" ht="45" x14ac:dyDescent="0.25">
      <c r="A26" s="340" t="s">
        <v>74</v>
      </c>
      <c r="B26" s="309"/>
      <c r="C26" s="343">
        <v>248364</v>
      </c>
      <c r="D26" s="309"/>
      <c r="E26" s="308"/>
      <c r="F26" s="310">
        <v>165576.26243333332</v>
      </c>
      <c r="G26" s="308"/>
      <c r="H26" s="309"/>
      <c r="I26" s="343">
        <v>248364</v>
      </c>
      <c r="J26" s="316"/>
      <c r="K26" s="342">
        <v>0.75</v>
      </c>
    </row>
    <row r="27" spans="1:11" ht="30" x14ac:dyDescent="0.25">
      <c r="A27" s="340" t="s">
        <v>75</v>
      </c>
      <c r="B27" s="341">
        <v>82788</v>
      </c>
      <c r="C27" s="308"/>
      <c r="D27" s="309"/>
      <c r="E27" s="310">
        <v>165576.26243333332</v>
      </c>
      <c r="F27" s="315"/>
      <c r="G27" s="308"/>
      <c r="H27" s="310">
        <v>165576.26243333332</v>
      </c>
      <c r="I27" s="316"/>
      <c r="J27" s="316"/>
      <c r="K27" s="342">
        <v>0.75</v>
      </c>
    </row>
    <row r="28" spans="1:11" ht="45" x14ac:dyDescent="0.25">
      <c r="A28" s="340" t="s">
        <v>76</v>
      </c>
      <c r="B28" s="341">
        <v>82788</v>
      </c>
      <c r="C28" s="308"/>
      <c r="D28" s="341">
        <v>82788</v>
      </c>
      <c r="E28" s="308"/>
      <c r="F28" s="315"/>
      <c r="G28" s="341">
        <v>82788</v>
      </c>
      <c r="H28" s="309"/>
      <c r="I28" s="316"/>
      <c r="J28" s="341">
        <v>82788</v>
      </c>
      <c r="K28" s="344" t="s">
        <v>302</v>
      </c>
    </row>
    <row r="29" spans="1:11" x14ac:dyDescent="0.25">
      <c r="A29" s="340" t="s">
        <v>77</v>
      </c>
      <c r="B29" s="318"/>
      <c r="C29" s="341">
        <v>82788</v>
      </c>
      <c r="D29" s="318"/>
      <c r="E29" s="319"/>
      <c r="F29" s="341">
        <v>82788</v>
      </c>
      <c r="G29" s="319"/>
      <c r="H29" s="318"/>
      <c r="I29" s="341">
        <v>82788</v>
      </c>
      <c r="J29" s="316"/>
      <c r="K29" s="342">
        <v>0.8</v>
      </c>
    </row>
    <row r="30" spans="1:11" ht="15.75" thickBot="1" x14ac:dyDescent="0.3">
      <c r="A30" s="345" t="s">
        <v>7</v>
      </c>
      <c r="B30" s="346">
        <f t="shared" ref="B30:J30" si="1">SUM(B22:B29)</f>
        <v>413940.39243333333</v>
      </c>
      <c r="C30" s="346">
        <f t="shared" si="1"/>
        <v>413940.13121666666</v>
      </c>
      <c r="D30" s="346">
        <f t="shared" si="1"/>
        <v>413940.13121666666</v>
      </c>
      <c r="E30" s="346">
        <f t="shared" si="1"/>
        <v>413940.52486666664</v>
      </c>
      <c r="F30" s="346">
        <f t="shared" si="1"/>
        <v>413940.52486666664</v>
      </c>
      <c r="G30" s="346">
        <f t="shared" si="1"/>
        <v>413940.39364999998</v>
      </c>
      <c r="H30" s="346">
        <f t="shared" si="1"/>
        <v>413940.52486666664</v>
      </c>
      <c r="I30" s="346">
        <f t="shared" si="1"/>
        <v>413940</v>
      </c>
      <c r="J30" s="346">
        <f t="shared" si="1"/>
        <v>413940</v>
      </c>
      <c r="K30" s="347"/>
    </row>
  </sheetData>
  <mergeCells count="2">
    <mergeCell ref="A2:M2"/>
    <mergeCell ref="O2:P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Z17"/>
  <sheetViews>
    <sheetView workbookViewId="0"/>
  </sheetViews>
  <sheetFormatPr defaultColWidth="8.85546875" defaultRowHeight="15" x14ac:dyDescent="0.25"/>
  <cols>
    <col min="1" max="1" width="39.42578125" bestFit="1" customWidth="1"/>
    <col min="3" max="3" width="6.42578125" bestFit="1" customWidth="1"/>
    <col min="4" max="4" width="7.140625" bestFit="1" customWidth="1"/>
    <col min="5" max="5" width="6.42578125" bestFit="1" customWidth="1"/>
    <col min="6" max="6" width="7.140625" bestFit="1" customWidth="1"/>
    <col min="7" max="7" width="6.42578125" bestFit="1" customWidth="1"/>
    <col min="8" max="8" width="7.140625" bestFit="1" customWidth="1"/>
    <col min="9" max="9" width="6.42578125" bestFit="1" customWidth="1"/>
    <col min="10" max="10" width="8.140625" bestFit="1" customWidth="1"/>
    <col min="11" max="11" width="6.42578125" bestFit="1" customWidth="1"/>
    <col min="12" max="12" width="7.140625" bestFit="1" customWidth="1"/>
    <col min="13" max="13" width="6.42578125" bestFit="1" customWidth="1"/>
    <col min="14" max="14" width="7.140625" bestFit="1" customWidth="1"/>
    <col min="15" max="15" width="6.42578125" bestFit="1" customWidth="1"/>
    <col min="16" max="16" width="7.140625" bestFit="1" customWidth="1"/>
    <col min="17" max="17" width="6.42578125" bestFit="1" customWidth="1"/>
    <col min="18" max="18" width="7.140625" bestFit="1" customWidth="1"/>
    <col min="19" max="19" width="6.42578125" bestFit="1" customWidth="1"/>
    <col min="20" max="20" width="7.5703125" bestFit="1" customWidth="1"/>
    <col min="21" max="21" width="6.42578125" bestFit="1" customWidth="1"/>
    <col min="22" max="22" width="7.5703125" bestFit="1" customWidth="1"/>
    <col min="23" max="23" width="6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648" t="s">
        <v>363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</row>
    <row r="3" spans="1:26" ht="18" x14ac:dyDescent="0.35">
      <c r="A3" s="648" t="s">
        <v>0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383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280" t="s">
        <v>15</v>
      </c>
      <c r="B6" s="281" t="s">
        <v>16</v>
      </c>
      <c r="C6" s="566" t="s">
        <v>327</v>
      </c>
      <c r="D6" s="567" t="s">
        <v>1</v>
      </c>
      <c r="E6" s="566" t="s">
        <v>328</v>
      </c>
      <c r="F6" s="567" t="s">
        <v>1</v>
      </c>
      <c r="G6" s="295" t="s">
        <v>349</v>
      </c>
      <c r="H6" s="296" t="s">
        <v>1</v>
      </c>
      <c r="I6" s="295" t="s">
        <v>350</v>
      </c>
      <c r="J6" s="296" t="s">
        <v>1</v>
      </c>
      <c r="K6" s="295" t="s">
        <v>351</v>
      </c>
      <c r="L6" s="296" t="s">
        <v>1</v>
      </c>
      <c r="M6" s="295" t="s">
        <v>353</v>
      </c>
      <c r="N6" s="296" t="s">
        <v>1</v>
      </c>
      <c r="O6" s="295" t="s">
        <v>354</v>
      </c>
      <c r="P6" s="296" t="s">
        <v>1</v>
      </c>
      <c r="Q6" s="295" t="s">
        <v>2</v>
      </c>
      <c r="R6" s="296" t="s">
        <v>1</v>
      </c>
      <c r="S6" s="579" t="s">
        <v>3</v>
      </c>
      <c r="T6" s="580" t="s">
        <v>1</v>
      </c>
      <c r="U6" s="579" t="s">
        <v>4</v>
      </c>
      <c r="V6" s="580" t="s">
        <v>1</v>
      </c>
      <c r="W6" s="579" t="s">
        <v>5</v>
      </c>
      <c r="X6" s="580" t="s">
        <v>1</v>
      </c>
      <c r="Y6" s="579" t="s">
        <v>6</v>
      </c>
      <c r="Z6" s="580" t="s">
        <v>1</v>
      </c>
    </row>
    <row r="7" spans="1:26" ht="15.75" thickTop="1" x14ac:dyDescent="0.25">
      <c r="A7" s="78" t="s">
        <v>27</v>
      </c>
      <c r="B7" s="23">
        <v>4800</v>
      </c>
      <c r="C7" s="418">
        <v>4293</v>
      </c>
      <c r="D7" s="562">
        <f>((C7/$B7))-1</f>
        <v>-0.10562499999999997</v>
      </c>
      <c r="E7" s="418">
        <v>4345</v>
      </c>
      <c r="F7" s="562">
        <f>((E7/$B7))-1</f>
        <v>-9.4791666666666718E-2</v>
      </c>
      <c r="G7" s="418">
        <v>4422</v>
      </c>
      <c r="H7" s="24">
        <f>((G7/$B7))-1</f>
        <v>-7.8749999999999987E-2</v>
      </c>
      <c r="I7" s="418">
        <v>4375</v>
      </c>
      <c r="J7" s="24">
        <f>((I7/$B7))-1</f>
        <v>-8.854166666666663E-2</v>
      </c>
      <c r="K7" s="418">
        <v>4506</v>
      </c>
      <c r="L7" s="24">
        <f>((K7/$B7))-1</f>
        <v>-6.1250000000000027E-2</v>
      </c>
      <c r="M7" s="418">
        <v>4518</v>
      </c>
      <c r="N7" s="24">
        <f>((M7/$B7))-1</f>
        <v>-5.8749999999999969E-2</v>
      </c>
      <c r="O7" s="418">
        <v>4686</v>
      </c>
      <c r="P7" s="24">
        <f>((O7/$B7))-1</f>
        <v>-2.3750000000000049E-2</v>
      </c>
      <c r="Q7" s="418">
        <v>4734</v>
      </c>
      <c r="R7" s="24">
        <f>((Q7/$B7))-1</f>
        <v>-1.375000000000004E-2</v>
      </c>
      <c r="S7" s="418">
        <v>4452</v>
      </c>
      <c r="T7" s="562">
        <f t="shared" ref="T7:T17" si="0">S7/$B7</f>
        <v>0.92749999999999999</v>
      </c>
      <c r="U7" s="418">
        <v>4546</v>
      </c>
      <c r="V7" s="562">
        <f t="shared" ref="V7:V17" si="1">U7/$B7</f>
        <v>0.94708333333333339</v>
      </c>
      <c r="W7" s="418">
        <v>4482</v>
      </c>
      <c r="X7" s="562">
        <f t="shared" ref="X7:X17" si="2">W7/$B7</f>
        <v>0.93374999999999997</v>
      </c>
      <c r="Y7" s="418">
        <v>4407</v>
      </c>
      <c r="Z7" s="562">
        <f t="shared" ref="Z7:Z17" si="3">Y7/$B7</f>
        <v>0.91812499999999997</v>
      </c>
    </row>
    <row r="8" spans="1:26" x14ac:dyDescent="0.25">
      <c r="A8" s="282" t="s">
        <v>28</v>
      </c>
      <c r="B8" s="283">
        <v>1664</v>
      </c>
      <c r="C8" s="554">
        <v>1130</v>
      </c>
      <c r="D8" s="562">
        <f t="shared" ref="D8:D16" si="4">((C8/$B8))-1</f>
        <v>-0.32091346153846156</v>
      </c>
      <c r="E8" s="554">
        <v>1361</v>
      </c>
      <c r="F8" s="562">
        <f t="shared" ref="F8:F16" si="5">((E8/$B8))-1</f>
        <v>-0.18209134615384615</v>
      </c>
      <c r="G8" s="266">
        <v>1303</v>
      </c>
      <c r="H8" s="24">
        <f t="shared" ref="H8:H16" si="6">((G8/$B8))-1</f>
        <v>-0.21694711538461542</v>
      </c>
      <c r="I8" s="545">
        <v>1520</v>
      </c>
      <c r="J8" s="24">
        <f t="shared" ref="J8:J16" si="7">((I8/$B8))-1</f>
        <v>-8.6538461538461564E-2</v>
      </c>
      <c r="K8" s="545">
        <v>1424</v>
      </c>
      <c r="L8" s="24">
        <f t="shared" ref="L8:L16" si="8">((K8/$B8))-1</f>
        <v>-0.14423076923076927</v>
      </c>
      <c r="M8" s="545">
        <v>1669</v>
      </c>
      <c r="N8" s="24">
        <f t="shared" ref="N8:N17" si="9">((M8/$B8))-1</f>
        <v>3.0048076923077094E-3</v>
      </c>
      <c r="O8" s="545">
        <v>1563</v>
      </c>
      <c r="P8" s="24">
        <f t="shared" ref="P8:P16" si="10">((O8/$B8))-1</f>
        <v>-6.0697115384615419E-2</v>
      </c>
      <c r="Q8" s="545">
        <v>1793</v>
      </c>
      <c r="R8" s="24">
        <f t="shared" ref="R8:R16" si="11">((Q8/$B8))-1</f>
        <v>7.7524038461538547E-2</v>
      </c>
      <c r="S8" s="568">
        <v>1697</v>
      </c>
      <c r="T8" s="571">
        <f t="shared" si="0"/>
        <v>1.0198317307692308</v>
      </c>
      <c r="U8" s="568">
        <v>1559</v>
      </c>
      <c r="V8" s="571">
        <f t="shared" si="1"/>
        <v>0.93689903846153844</v>
      </c>
      <c r="W8" s="568">
        <v>1180</v>
      </c>
      <c r="X8" s="571">
        <f t="shared" si="2"/>
        <v>0.70913461538461542</v>
      </c>
      <c r="Y8" s="568">
        <v>1254</v>
      </c>
      <c r="Z8" s="571">
        <f t="shared" si="3"/>
        <v>0.75360576923076927</v>
      </c>
    </row>
    <row r="9" spans="1:26" x14ac:dyDescent="0.25">
      <c r="A9" s="282" t="s">
        <v>29</v>
      </c>
      <c r="B9" s="283">
        <v>624</v>
      </c>
      <c r="C9" s="554">
        <v>500</v>
      </c>
      <c r="D9" s="562">
        <f t="shared" si="4"/>
        <v>-0.19871794871794868</v>
      </c>
      <c r="E9" s="554">
        <v>529</v>
      </c>
      <c r="F9" s="562">
        <f t="shared" si="5"/>
        <v>-0.15224358974358976</v>
      </c>
      <c r="G9" s="266">
        <v>769</v>
      </c>
      <c r="H9" s="24">
        <f t="shared" si="6"/>
        <v>0.23237179487179493</v>
      </c>
      <c r="I9" s="545">
        <v>748</v>
      </c>
      <c r="J9" s="24">
        <f t="shared" si="7"/>
        <v>0.19871794871794868</v>
      </c>
      <c r="K9" s="545">
        <v>627</v>
      </c>
      <c r="L9" s="24">
        <f t="shared" si="8"/>
        <v>4.8076923076922906E-3</v>
      </c>
      <c r="M9" s="545">
        <v>564</v>
      </c>
      <c r="N9" s="24">
        <f t="shared" si="9"/>
        <v>-9.6153846153846145E-2</v>
      </c>
      <c r="O9" s="545">
        <v>579</v>
      </c>
      <c r="P9" s="24">
        <f t="shared" si="10"/>
        <v>-7.2115384615384581E-2</v>
      </c>
      <c r="Q9" s="545">
        <v>760</v>
      </c>
      <c r="R9" s="24">
        <f t="shared" si="11"/>
        <v>0.21794871794871784</v>
      </c>
      <c r="S9" s="568">
        <v>714</v>
      </c>
      <c r="T9" s="571">
        <f t="shared" si="0"/>
        <v>1.1442307692307692</v>
      </c>
      <c r="U9" s="568">
        <v>748</v>
      </c>
      <c r="V9" s="571">
        <f t="shared" si="1"/>
        <v>1.1987179487179487</v>
      </c>
      <c r="W9" s="568">
        <v>616</v>
      </c>
      <c r="X9" s="571">
        <f t="shared" si="2"/>
        <v>0.98717948717948723</v>
      </c>
      <c r="Y9" s="568">
        <v>614</v>
      </c>
      <c r="Z9" s="571">
        <f t="shared" si="3"/>
        <v>0.98397435897435892</v>
      </c>
    </row>
    <row r="10" spans="1:26" x14ac:dyDescent="0.25">
      <c r="A10" s="282" t="s">
        <v>30</v>
      </c>
      <c r="B10" s="283">
        <v>416</v>
      </c>
      <c r="C10" s="554">
        <v>505</v>
      </c>
      <c r="D10" s="562">
        <f t="shared" si="4"/>
        <v>0.21394230769230771</v>
      </c>
      <c r="E10" s="554">
        <v>452</v>
      </c>
      <c r="F10" s="562">
        <f t="shared" si="5"/>
        <v>8.6538461538461453E-2</v>
      </c>
      <c r="G10" s="266">
        <v>782</v>
      </c>
      <c r="H10" s="24">
        <f t="shared" si="6"/>
        <v>0.87980769230769229</v>
      </c>
      <c r="I10" s="545">
        <v>658</v>
      </c>
      <c r="J10" s="24">
        <f t="shared" si="7"/>
        <v>0.58173076923076916</v>
      </c>
      <c r="K10" s="545">
        <v>519</v>
      </c>
      <c r="L10" s="24">
        <f t="shared" si="8"/>
        <v>0.24759615384615374</v>
      </c>
      <c r="M10" s="545">
        <v>752</v>
      </c>
      <c r="N10" s="24">
        <f t="shared" si="9"/>
        <v>0.80769230769230771</v>
      </c>
      <c r="O10" s="545">
        <v>698</v>
      </c>
      <c r="P10" s="24">
        <f t="shared" si="10"/>
        <v>0.67788461538461542</v>
      </c>
      <c r="Q10" s="545">
        <v>483</v>
      </c>
      <c r="R10" s="24">
        <f t="shared" si="11"/>
        <v>0.16105769230769229</v>
      </c>
      <c r="S10" s="568">
        <v>343</v>
      </c>
      <c r="T10" s="571">
        <f t="shared" si="0"/>
        <v>0.82451923076923073</v>
      </c>
      <c r="U10" s="568">
        <v>527</v>
      </c>
      <c r="V10" s="571">
        <f t="shared" si="1"/>
        <v>1.2668269230769231</v>
      </c>
      <c r="W10" s="568">
        <v>432</v>
      </c>
      <c r="X10" s="571">
        <f t="shared" si="2"/>
        <v>1.0384615384615385</v>
      </c>
      <c r="Y10" s="568">
        <v>415</v>
      </c>
      <c r="Z10" s="571">
        <f t="shared" si="3"/>
        <v>0.99759615384615385</v>
      </c>
    </row>
    <row r="11" spans="1:26" x14ac:dyDescent="0.25">
      <c r="A11" s="282" t="s">
        <v>31</v>
      </c>
      <c r="B11" s="283">
        <v>1664</v>
      </c>
      <c r="C11" s="554">
        <v>1442</v>
      </c>
      <c r="D11" s="562">
        <f t="shared" si="4"/>
        <v>-0.13341346153846156</v>
      </c>
      <c r="E11" s="554">
        <v>1214</v>
      </c>
      <c r="F11" s="562">
        <f t="shared" si="5"/>
        <v>-0.27043269230769229</v>
      </c>
      <c r="G11" s="266">
        <v>2028</v>
      </c>
      <c r="H11" s="24">
        <f t="shared" si="6"/>
        <v>0.21875</v>
      </c>
      <c r="I11" s="545">
        <v>1495</v>
      </c>
      <c r="J11" s="24">
        <f t="shared" si="7"/>
        <v>-0.1015625</v>
      </c>
      <c r="K11" s="545">
        <v>1543</v>
      </c>
      <c r="L11" s="24">
        <f t="shared" si="8"/>
        <v>-7.2716346153846145E-2</v>
      </c>
      <c r="M11" s="545">
        <v>1688</v>
      </c>
      <c r="N11" s="24">
        <f t="shared" si="9"/>
        <v>1.4423076923076872E-2</v>
      </c>
      <c r="O11" s="545">
        <v>1751</v>
      </c>
      <c r="P11" s="24">
        <f t="shared" si="10"/>
        <v>5.2283653846153744E-2</v>
      </c>
      <c r="Q11" s="545">
        <v>1331</v>
      </c>
      <c r="R11" s="24">
        <f t="shared" si="11"/>
        <v>-0.20012019230769229</v>
      </c>
      <c r="S11" s="568">
        <v>924</v>
      </c>
      <c r="T11" s="571">
        <f t="shared" si="0"/>
        <v>0.55528846153846156</v>
      </c>
      <c r="U11" s="568">
        <v>1549</v>
      </c>
      <c r="V11" s="571">
        <f t="shared" si="1"/>
        <v>0.93088942307692313</v>
      </c>
      <c r="W11" s="568">
        <v>1278</v>
      </c>
      <c r="X11" s="571">
        <f t="shared" si="2"/>
        <v>0.76802884615384615</v>
      </c>
      <c r="Y11" s="568">
        <v>1510</v>
      </c>
      <c r="Z11" s="571">
        <f t="shared" si="3"/>
        <v>0.90745192307692313</v>
      </c>
    </row>
    <row r="12" spans="1:26" x14ac:dyDescent="0.25">
      <c r="A12" s="282" t="s">
        <v>9</v>
      </c>
      <c r="B12" s="283">
        <v>222</v>
      </c>
      <c r="C12" s="554">
        <v>284</v>
      </c>
      <c r="D12" s="562">
        <f t="shared" si="4"/>
        <v>0.27927927927927931</v>
      </c>
      <c r="E12" s="554">
        <v>355</v>
      </c>
      <c r="F12" s="562">
        <f t="shared" si="5"/>
        <v>0.5990990990990992</v>
      </c>
      <c r="G12" s="266">
        <v>408</v>
      </c>
      <c r="H12" s="24">
        <f t="shared" si="6"/>
        <v>0.83783783783783794</v>
      </c>
      <c r="I12" s="545">
        <v>336</v>
      </c>
      <c r="J12" s="24">
        <f t="shared" si="7"/>
        <v>0.5135135135135136</v>
      </c>
      <c r="K12" s="545">
        <v>269</v>
      </c>
      <c r="L12" s="24">
        <f t="shared" si="8"/>
        <v>0.21171171171171177</v>
      </c>
      <c r="M12" s="545">
        <v>398</v>
      </c>
      <c r="N12" s="24">
        <f t="shared" si="9"/>
        <v>0.79279279279279269</v>
      </c>
      <c r="O12" s="545">
        <v>409</v>
      </c>
      <c r="P12" s="24">
        <f t="shared" si="10"/>
        <v>0.8423423423423424</v>
      </c>
      <c r="Q12" s="545">
        <v>323</v>
      </c>
      <c r="R12" s="24">
        <f t="shared" si="11"/>
        <v>0.45495495495495497</v>
      </c>
      <c r="S12" s="568">
        <v>297</v>
      </c>
      <c r="T12" s="571">
        <f t="shared" si="0"/>
        <v>1.3378378378378379</v>
      </c>
      <c r="U12" s="568">
        <v>280</v>
      </c>
      <c r="V12" s="571">
        <f t="shared" si="1"/>
        <v>1.2612612612612613</v>
      </c>
      <c r="W12" s="568">
        <v>306</v>
      </c>
      <c r="X12" s="571">
        <f t="shared" si="2"/>
        <v>1.3783783783783783</v>
      </c>
      <c r="Y12" s="568">
        <v>217</v>
      </c>
      <c r="Z12" s="571">
        <f t="shared" si="3"/>
        <v>0.97747747747747749</v>
      </c>
    </row>
    <row r="13" spans="1:26" x14ac:dyDescent="0.25">
      <c r="A13" s="282" t="s">
        <v>10</v>
      </c>
      <c r="B13" s="283">
        <v>888</v>
      </c>
      <c r="C13" s="554">
        <v>819</v>
      </c>
      <c r="D13" s="562">
        <f t="shared" si="4"/>
        <v>-7.7702702702702742E-2</v>
      </c>
      <c r="E13" s="554">
        <v>1035</v>
      </c>
      <c r="F13" s="562">
        <f t="shared" si="5"/>
        <v>0.16554054054054057</v>
      </c>
      <c r="G13" s="266">
        <v>1254</v>
      </c>
      <c r="H13" s="24">
        <f t="shared" si="6"/>
        <v>0.41216216216216206</v>
      </c>
      <c r="I13" s="545">
        <v>804</v>
      </c>
      <c r="J13" s="24">
        <f t="shared" si="7"/>
        <v>-9.4594594594594628E-2</v>
      </c>
      <c r="K13" s="545">
        <v>827</v>
      </c>
      <c r="L13" s="24">
        <f t="shared" si="8"/>
        <v>-6.8693693693693714E-2</v>
      </c>
      <c r="M13" s="545">
        <v>987</v>
      </c>
      <c r="N13" s="24">
        <f t="shared" si="9"/>
        <v>0.1114864864864864</v>
      </c>
      <c r="O13" s="545">
        <v>988</v>
      </c>
      <c r="P13" s="24">
        <f t="shared" si="10"/>
        <v>0.11261261261261257</v>
      </c>
      <c r="Q13" s="545">
        <v>890</v>
      </c>
      <c r="R13" s="24">
        <f t="shared" si="11"/>
        <v>2.2522522522523403E-3</v>
      </c>
      <c r="S13" s="568">
        <v>822</v>
      </c>
      <c r="T13" s="571">
        <f t="shared" si="0"/>
        <v>0.92567567567567566</v>
      </c>
      <c r="U13" s="568">
        <v>756</v>
      </c>
      <c r="V13" s="571">
        <f t="shared" si="1"/>
        <v>0.85135135135135132</v>
      </c>
      <c r="W13" s="568">
        <v>932</v>
      </c>
      <c r="X13" s="571">
        <f t="shared" si="2"/>
        <v>1.0495495495495495</v>
      </c>
      <c r="Y13" s="568">
        <v>754</v>
      </c>
      <c r="Z13" s="571">
        <f t="shared" si="3"/>
        <v>0.84909909909909909</v>
      </c>
    </row>
    <row r="14" spans="1:26" x14ac:dyDescent="0.25">
      <c r="A14" s="282" t="s">
        <v>11</v>
      </c>
      <c r="B14" s="283">
        <v>526</v>
      </c>
      <c r="C14" s="554">
        <v>503</v>
      </c>
      <c r="D14" s="562">
        <f t="shared" si="4"/>
        <v>-4.3726235741444852E-2</v>
      </c>
      <c r="E14" s="554">
        <v>374</v>
      </c>
      <c r="F14" s="562">
        <f t="shared" si="5"/>
        <v>-0.28897338403041828</v>
      </c>
      <c r="G14" s="266">
        <v>182</v>
      </c>
      <c r="H14" s="24">
        <f t="shared" si="6"/>
        <v>-0.6539923954372624</v>
      </c>
      <c r="I14" s="545">
        <v>0</v>
      </c>
      <c r="J14" s="24">
        <f t="shared" si="7"/>
        <v>-1</v>
      </c>
      <c r="K14" s="545">
        <v>268</v>
      </c>
      <c r="L14" s="24">
        <f t="shared" si="8"/>
        <v>-0.49049429657794674</v>
      </c>
      <c r="M14" s="545">
        <v>467</v>
      </c>
      <c r="N14" s="24">
        <f t="shared" si="9"/>
        <v>-0.11216730038022815</v>
      </c>
      <c r="O14" s="545">
        <v>479</v>
      </c>
      <c r="P14" s="24">
        <f t="shared" si="10"/>
        <v>-8.9353612167300422E-2</v>
      </c>
      <c r="Q14" s="545">
        <v>468</v>
      </c>
      <c r="R14" s="24">
        <f t="shared" si="11"/>
        <v>-0.11026615969581754</v>
      </c>
      <c r="S14" s="568">
        <v>497</v>
      </c>
      <c r="T14" s="571">
        <f t="shared" si="0"/>
        <v>0.94486692015209128</v>
      </c>
      <c r="U14" s="568">
        <v>366</v>
      </c>
      <c r="V14" s="571">
        <f t="shared" si="1"/>
        <v>0.69581749049429653</v>
      </c>
      <c r="W14" s="568">
        <v>477</v>
      </c>
      <c r="X14" s="571">
        <f t="shared" si="2"/>
        <v>0.90684410646387836</v>
      </c>
      <c r="Y14" s="568">
        <v>497</v>
      </c>
      <c r="Z14" s="571">
        <f t="shared" si="3"/>
        <v>0.94486692015209128</v>
      </c>
    </row>
    <row r="15" spans="1:26" x14ac:dyDescent="0.25">
      <c r="A15" s="285" t="s">
        <v>43</v>
      </c>
      <c r="B15" s="286">
        <v>526</v>
      </c>
      <c r="C15" s="94">
        <v>149</v>
      </c>
      <c r="D15" s="39">
        <f t="shared" si="4"/>
        <v>-0.71673003802281365</v>
      </c>
      <c r="E15" s="554">
        <v>300</v>
      </c>
      <c r="F15" s="39">
        <f t="shared" si="5"/>
        <v>-0.42965779467680609</v>
      </c>
      <c r="G15" s="266">
        <v>284</v>
      </c>
      <c r="H15" s="39">
        <f t="shared" si="6"/>
        <v>-0.46007604562737647</v>
      </c>
      <c r="I15" s="545">
        <v>309</v>
      </c>
      <c r="J15" s="39">
        <f t="shared" si="7"/>
        <v>-0.4125475285171103</v>
      </c>
      <c r="K15" s="545">
        <v>264</v>
      </c>
      <c r="L15" s="39">
        <f t="shared" si="8"/>
        <v>-0.49809885931558939</v>
      </c>
      <c r="M15" s="545">
        <v>244</v>
      </c>
      <c r="N15" s="24">
        <f t="shared" si="9"/>
        <v>-0.53612167300380231</v>
      </c>
      <c r="O15" s="545">
        <v>199</v>
      </c>
      <c r="P15" s="39">
        <f t="shared" si="10"/>
        <v>-0.6216730038022813</v>
      </c>
      <c r="Q15" s="545">
        <v>301</v>
      </c>
      <c r="R15" s="39">
        <f t="shared" si="11"/>
        <v>-0.42775665399239549</v>
      </c>
      <c r="S15" s="568">
        <v>147</v>
      </c>
      <c r="T15" s="571">
        <f t="shared" si="0"/>
        <v>0.27946768060836502</v>
      </c>
      <c r="U15" s="568">
        <v>245</v>
      </c>
      <c r="V15" s="571">
        <f t="shared" si="1"/>
        <v>0.46577946768060835</v>
      </c>
      <c r="W15" s="568">
        <v>259</v>
      </c>
      <c r="X15" s="571">
        <f t="shared" si="2"/>
        <v>0.4923954372623574</v>
      </c>
      <c r="Y15" s="568">
        <v>228</v>
      </c>
      <c r="Z15" s="571">
        <f t="shared" si="3"/>
        <v>0.43346007604562736</v>
      </c>
    </row>
    <row r="16" spans="1:26" ht="15.75" thickBot="1" x14ac:dyDescent="0.3">
      <c r="A16" s="288" t="s">
        <v>14</v>
      </c>
      <c r="B16" s="289">
        <v>526</v>
      </c>
      <c r="C16" s="267">
        <v>389</v>
      </c>
      <c r="D16" s="564">
        <f t="shared" si="4"/>
        <v>-0.26045627376425851</v>
      </c>
      <c r="E16" s="94">
        <v>409</v>
      </c>
      <c r="F16" s="564">
        <f t="shared" si="5"/>
        <v>-0.22243346007604559</v>
      </c>
      <c r="G16" s="94">
        <v>325</v>
      </c>
      <c r="H16" s="291">
        <f t="shared" si="6"/>
        <v>-0.38212927756653992</v>
      </c>
      <c r="I16" s="94">
        <v>372</v>
      </c>
      <c r="J16" s="291">
        <f t="shared" si="7"/>
        <v>-0.29277566539923949</v>
      </c>
      <c r="K16" s="94">
        <v>430</v>
      </c>
      <c r="L16" s="291">
        <f t="shared" si="8"/>
        <v>-0.18250950570342206</v>
      </c>
      <c r="M16" s="94">
        <v>461</v>
      </c>
      <c r="N16" s="39">
        <f t="shared" si="9"/>
        <v>-0.12357414448669202</v>
      </c>
      <c r="O16" s="94">
        <v>391</v>
      </c>
      <c r="P16" s="291">
        <f t="shared" si="10"/>
        <v>-0.25665399239543729</v>
      </c>
      <c r="Q16" s="94">
        <v>436</v>
      </c>
      <c r="R16" s="291">
        <f t="shared" si="11"/>
        <v>-0.17110266159695819</v>
      </c>
      <c r="S16" s="570">
        <v>271</v>
      </c>
      <c r="T16" s="572">
        <f t="shared" si="0"/>
        <v>0.51520912547528519</v>
      </c>
      <c r="U16" s="570">
        <v>231</v>
      </c>
      <c r="V16" s="572">
        <f t="shared" si="1"/>
        <v>0.4391634980988593</v>
      </c>
      <c r="W16" s="570">
        <v>212</v>
      </c>
      <c r="X16" s="572">
        <f t="shared" si="2"/>
        <v>0.40304182509505704</v>
      </c>
      <c r="Y16" s="570">
        <v>74</v>
      </c>
      <c r="Z16" s="572">
        <f t="shared" si="3"/>
        <v>0.14068441064638784</v>
      </c>
    </row>
    <row r="17" spans="1:26" ht="15.75" thickBot="1" x14ac:dyDescent="0.3">
      <c r="A17" s="68" t="s">
        <v>7</v>
      </c>
      <c r="B17" s="72">
        <f>SUM(B7:B16)</f>
        <v>11856</v>
      </c>
      <c r="C17" s="76">
        <f>SUM(C7:C16)</f>
        <v>10014</v>
      </c>
      <c r="D17" s="90">
        <f>((C17/$B17))-1</f>
        <v>-0.15536437246963564</v>
      </c>
      <c r="E17" s="76">
        <f>SUM(E7:E16)</f>
        <v>10374</v>
      </c>
      <c r="F17" s="90">
        <f>((E17/$B17))-1</f>
        <v>-0.125</v>
      </c>
      <c r="G17" s="76">
        <f>SUM(G7:G16)</f>
        <v>11757</v>
      </c>
      <c r="H17" s="90">
        <f>((G17/$B17))-1</f>
        <v>-8.3502024291497445E-3</v>
      </c>
      <c r="I17" s="76">
        <f>SUM(I7:I16)</f>
        <v>10617</v>
      </c>
      <c r="J17" s="90">
        <f>((I17/$B17))-1</f>
        <v>-0.104504048582996</v>
      </c>
      <c r="K17" s="76">
        <f>SUM(K7:K16)</f>
        <v>10677</v>
      </c>
      <c r="L17" s="90">
        <f>((K17/$B17))-1</f>
        <v>-9.9443319838056654E-2</v>
      </c>
      <c r="M17" s="76">
        <f>SUM(M7:M16)</f>
        <v>11748</v>
      </c>
      <c r="N17" s="292">
        <f t="shared" si="9"/>
        <v>-9.109311740890691E-3</v>
      </c>
      <c r="O17" s="76">
        <f>SUM(O7:O16)</f>
        <v>11743</v>
      </c>
      <c r="P17" s="90">
        <f>((O17/$B17))-1</f>
        <v>-9.5310391363022662E-3</v>
      </c>
      <c r="Q17" s="76">
        <f>SUM(Q7:Q16)</f>
        <v>11519</v>
      </c>
      <c r="R17" s="90">
        <f>((Q17/$B17))-1</f>
        <v>-2.8424426450742279E-2</v>
      </c>
      <c r="S17" s="591">
        <f>SUM(S7:S16)</f>
        <v>10164</v>
      </c>
      <c r="T17" s="592">
        <f t="shared" si="0"/>
        <v>0.85728744939271251</v>
      </c>
      <c r="U17" s="591">
        <f>SUM(U7:U16)</f>
        <v>10807</v>
      </c>
      <c r="V17" s="592">
        <f t="shared" si="1"/>
        <v>0.91152159244264508</v>
      </c>
      <c r="W17" s="591">
        <f>SUM(W7:W16)</f>
        <v>10174</v>
      </c>
      <c r="X17" s="592">
        <f t="shared" si="2"/>
        <v>0.85813090418353577</v>
      </c>
      <c r="Y17" s="591">
        <f>SUM(Y7:Y16)</f>
        <v>9970</v>
      </c>
      <c r="Z17" s="592">
        <f t="shared" si="3"/>
        <v>0.84092442645074228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24"/>
  <sheetViews>
    <sheetView topLeftCell="I1" workbookViewId="0">
      <selection activeCell="F19" sqref="F19"/>
    </sheetView>
  </sheetViews>
  <sheetFormatPr defaultRowHeight="15" x14ac:dyDescent="0.25"/>
  <cols>
    <col min="1" max="1" width="29.7109375" customWidth="1"/>
    <col min="2" max="2" width="45.7109375" customWidth="1"/>
    <col min="3" max="3" width="15.85546875" customWidth="1"/>
    <col min="4" max="4" width="13.5703125" customWidth="1"/>
    <col min="5" max="5" width="16.85546875" customWidth="1"/>
    <col min="6" max="6" width="11.28515625" customWidth="1"/>
    <col min="7" max="7" width="17.5703125" customWidth="1"/>
    <col min="9" max="9" width="36.5703125" customWidth="1"/>
    <col min="10" max="10" width="20.5703125" customWidth="1"/>
  </cols>
  <sheetData>
    <row r="1" spans="1:7" x14ac:dyDescent="0.25">
      <c r="A1" s="704" t="s">
        <v>303</v>
      </c>
      <c r="B1" s="694" t="s">
        <v>304</v>
      </c>
      <c r="C1" s="691" t="s">
        <v>305</v>
      </c>
      <c r="D1" s="691" t="s">
        <v>306</v>
      </c>
      <c r="E1" s="691" t="s">
        <v>307</v>
      </c>
      <c r="F1" s="694" t="s">
        <v>308</v>
      </c>
      <c r="G1" s="695"/>
    </row>
    <row r="2" spans="1:7" ht="34.5" customHeight="1" x14ac:dyDescent="0.25">
      <c r="A2" s="705"/>
      <c r="B2" s="707"/>
      <c r="C2" s="692"/>
      <c r="D2" s="692"/>
      <c r="E2" s="692"/>
      <c r="F2" s="696" t="s">
        <v>309</v>
      </c>
      <c r="G2" s="533" t="s">
        <v>310</v>
      </c>
    </row>
    <row r="3" spans="1:7" ht="15.75" thickBot="1" x14ac:dyDescent="0.3">
      <c r="A3" s="706"/>
      <c r="B3" s="708"/>
      <c r="C3" s="693"/>
      <c r="D3" s="693"/>
      <c r="E3" s="693"/>
      <c r="F3" s="697"/>
      <c r="G3" s="348" t="s">
        <v>311</v>
      </c>
    </row>
    <row r="4" spans="1:7" x14ac:dyDescent="0.25">
      <c r="A4" s="698" t="s">
        <v>312</v>
      </c>
      <c r="B4" s="349" t="s">
        <v>313</v>
      </c>
      <c r="C4" s="350">
        <v>0.13469999999999999</v>
      </c>
      <c r="D4" s="351">
        <f>C17*13.47%</f>
        <v>1115156.1274885</v>
      </c>
      <c r="E4" s="351">
        <f>D4*95%</f>
        <v>1059398.3211140749</v>
      </c>
      <c r="F4" s="352">
        <v>1</v>
      </c>
      <c r="G4" s="353">
        <f>E4*10%</f>
        <v>105939.83211140749</v>
      </c>
    </row>
    <row r="5" spans="1:7" x14ac:dyDescent="0.25">
      <c r="A5" s="699"/>
      <c r="B5" s="354" t="s">
        <v>314</v>
      </c>
      <c r="C5" s="355">
        <v>0.40500000000000003</v>
      </c>
      <c r="D5" s="356">
        <f>C17*40%</f>
        <v>3311525.2486666664</v>
      </c>
      <c r="E5" s="356">
        <f t="shared" ref="E5:E13" si="0">D5*95%</f>
        <v>3145948.9862333331</v>
      </c>
      <c r="F5" s="357">
        <v>1</v>
      </c>
      <c r="G5" s="358">
        <f t="shared" ref="G5:G13" si="1">E5*10%</f>
        <v>314594.89862333331</v>
      </c>
    </row>
    <row r="6" spans="1:7" x14ac:dyDescent="0.25">
      <c r="A6" s="699"/>
      <c r="B6" s="354" t="s">
        <v>274</v>
      </c>
      <c r="C6" s="355">
        <v>6.8999999999999999E-3</v>
      </c>
      <c r="D6" s="356">
        <f>C17*0.69%</f>
        <v>57123.810539499995</v>
      </c>
      <c r="E6" s="356">
        <f t="shared" si="0"/>
        <v>54267.620012524996</v>
      </c>
      <c r="F6" s="357">
        <v>1</v>
      </c>
      <c r="G6" s="358">
        <f t="shared" si="1"/>
        <v>5426.7620012525003</v>
      </c>
    </row>
    <row r="7" spans="1:7" ht="15.75" thickBot="1" x14ac:dyDescent="0.3">
      <c r="A7" s="700"/>
      <c r="B7" s="359" t="s">
        <v>265</v>
      </c>
      <c r="C7" s="360">
        <v>0.21229999999999999</v>
      </c>
      <c r="D7" s="356">
        <f>C17*21.23%</f>
        <v>1757592.0257298334</v>
      </c>
      <c r="E7" s="356">
        <f t="shared" si="0"/>
        <v>1669712.4244433416</v>
      </c>
      <c r="F7" s="357">
        <v>1</v>
      </c>
      <c r="G7" s="358">
        <f t="shared" si="1"/>
        <v>166971.24244433417</v>
      </c>
    </row>
    <row r="8" spans="1:7" ht="15.75" thickBot="1" x14ac:dyDescent="0.3">
      <c r="A8" s="532" t="s">
        <v>315</v>
      </c>
      <c r="B8" s="361" t="s">
        <v>316</v>
      </c>
      <c r="C8" s="362">
        <v>0.1037</v>
      </c>
      <c r="D8" s="356">
        <f>C17*10.37%</f>
        <v>858512.92071683321</v>
      </c>
      <c r="E8" s="356">
        <f t="shared" si="0"/>
        <v>815587.27468099154</v>
      </c>
      <c r="F8" s="357">
        <v>1</v>
      </c>
      <c r="G8" s="358">
        <f t="shared" si="1"/>
        <v>81558.727468099154</v>
      </c>
    </row>
    <row r="9" spans="1:7" x14ac:dyDescent="0.25">
      <c r="A9" s="701" t="s">
        <v>317</v>
      </c>
      <c r="B9" s="349" t="s">
        <v>318</v>
      </c>
      <c r="C9" s="350">
        <v>7.2700000000000001E-2</v>
      </c>
      <c r="D9" s="356">
        <f>C17*7.27%</f>
        <v>601869.71394516667</v>
      </c>
      <c r="E9" s="356">
        <f t="shared" si="0"/>
        <v>571776.22824790829</v>
      </c>
      <c r="F9" s="357">
        <v>1</v>
      </c>
      <c r="G9" s="358">
        <f t="shared" si="1"/>
        <v>57177.622824790829</v>
      </c>
    </row>
    <row r="10" spans="1:7" x14ac:dyDescent="0.25">
      <c r="A10" s="702"/>
      <c r="B10" s="354" t="s">
        <v>276</v>
      </c>
      <c r="C10" s="355">
        <v>9.4E-2</v>
      </c>
      <c r="D10" s="356">
        <f>C17*9.4%</f>
        <v>778208.43343666662</v>
      </c>
      <c r="E10" s="356">
        <f t="shared" si="0"/>
        <v>739298.01176483324</v>
      </c>
      <c r="F10" s="357">
        <v>1</v>
      </c>
      <c r="G10" s="358">
        <f t="shared" si="1"/>
        <v>73929.801176483321</v>
      </c>
    </row>
    <row r="11" spans="1:7" x14ac:dyDescent="0.25">
      <c r="A11" s="702"/>
      <c r="B11" s="354" t="s">
        <v>319</v>
      </c>
      <c r="C11" s="355">
        <v>3.1399999999999997E-2</v>
      </c>
      <c r="D11" s="356">
        <f>C17*3.14%</f>
        <v>259954.73202033335</v>
      </c>
      <c r="E11" s="356">
        <f t="shared" si="0"/>
        <v>246956.99541931666</v>
      </c>
      <c r="F11" s="357">
        <v>1</v>
      </c>
      <c r="G11" s="358">
        <f t="shared" si="1"/>
        <v>24695.699541931666</v>
      </c>
    </row>
    <row r="12" spans="1:7" x14ac:dyDescent="0.25">
      <c r="A12" s="702"/>
      <c r="B12" s="354" t="s">
        <v>320</v>
      </c>
      <c r="C12" s="355">
        <v>1.46E-2</v>
      </c>
      <c r="D12" s="356">
        <f>C17*1.46%</f>
        <v>120870.67157633332</v>
      </c>
      <c r="E12" s="356">
        <f t="shared" si="0"/>
        <v>114827.13799751665</v>
      </c>
      <c r="F12" s="357">
        <v>1</v>
      </c>
      <c r="G12" s="358">
        <f t="shared" si="1"/>
        <v>11482.713799751666</v>
      </c>
    </row>
    <row r="13" spans="1:7" ht="15.75" thickBot="1" x14ac:dyDescent="0.3">
      <c r="A13" s="703"/>
      <c r="B13" s="359" t="s">
        <v>321</v>
      </c>
      <c r="C13" s="360">
        <v>1.49E-2</v>
      </c>
      <c r="D13" s="363">
        <f>C17*1.49%</f>
        <v>123354.31551283333</v>
      </c>
      <c r="E13" s="363">
        <f t="shared" si="0"/>
        <v>117186.59973719166</v>
      </c>
      <c r="F13" s="364">
        <v>1</v>
      </c>
      <c r="G13" s="365">
        <f t="shared" si="1"/>
        <v>11718.659973719166</v>
      </c>
    </row>
    <row r="14" spans="1:7" x14ac:dyDescent="0.25">
      <c r="D14" s="366">
        <f>SUM(D4:D13)</f>
        <v>8984167.9996326678</v>
      </c>
      <c r="E14" s="367"/>
    </row>
    <row r="15" spans="1:7" ht="15.75" thickBot="1" x14ac:dyDescent="0.3"/>
    <row r="16" spans="1:7" x14ac:dyDescent="0.25">
      <c r="B16" s="326" t="s">
        <v>296</v>
      </c>
      <c r="C16" s="327">
        <v>99345757.459999993</v>
      </c>
      <c r="D16" s="368" t="s">
        <v>322</v>
      </c>
      <c r="E16" s="325"/>
    </row>
    <row r="17" spans="2:5" x14ac:dyDescent="0.25">
      <c r="B17" s="328" t="s">
        <v>297</v>
      </c>
      <c r="C17" s="329">
        <f>C16/12</f>
        <v>8278813.1216666661</v>
      </c>
      <c r="D17" s="369">
        <f>D14-C17</f>
        <v>705354.87796600163</v>
      </c>
      <c r="E17" s="325"/>
    </row>
    <row r="18" spans="2:5" x14ac:dyDescent="0.25">
      <c r="B18" s="328" t="s">
        <v>323</v>
      </c>
      <c r="C18" s="330">
        <f>C16*95%</f>
        <v>94378469.586999983</v>
      </c>
      <c r="D18" s="325"/>
      <c r="E18" s="325"/>
    </row>
    <row r="19" spans="2:5" ht="15.75" thickBot="1" x14ac:dyDescent="0.3">
      <c r="B19" s="331" t="s">
        <v>299</v>
      </c>
      <c r="C19" s="332">
        <f>C18/12</f>
        <v>7864872.4655833319</v>
      </c>
      <c r="D19" s="325"/>
      <c r="E19" s="325"/>
    </row>
    <row r="22" spans="2:5" x14ac:dyDescent="0.25">
      <c r="D22" s="306"/>
      <c r="E22" s="306"/>
    </row>
    <row r="23" spans="2:5" x14ac:dyDescent="0.25">
      <c r="D23" s="306"/>
      <c r="E23" s="306"/>
    </row>
    <row r="24" spans="2:5" x14ac:dyDescent="0.25">
      <c r="D24" s="306"/>
      <c r="E24" s="306"/>
    </row>
  </sheetData>
  <mergeCells count="9">
    <mergeCell ref="E1:E3"/>
    <mergeCell ref="F1:G1"/>
    <mergeCell ref="F2:F3"/>
    <mergeCell ref="A4:A7"/>
    <mergeCell ref="A9:A13"/>
    <mergeCell ref="A1:A3"/>
    <mergeCell ref="B1:B3"/>
    <mergeCell ref="C1:C3"/>
    <mergeCell ref="D1:D3"/>
  </mergeCells>
  <pageMargins left="0.22" right="0.31" top="0.52" bottom="0.78740157480314965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Z13"/>
  <sheetViews>
    <sheetView workbookViewId="0"/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8.140625" bestFit="1" customWidth="1"/>
    <col min="5" max="5" width="5.42578125" bestFit="1" customWidth="1"/>
    <col min="6" max="6" width="7.5703125" bestFit="1" customWidth="1"/>
    <col min="7" max="7" width="6.42578125" bestFit="1" customWidth="1"/>
    <col min="8" max="8" width="7.5703125" bestFit="1" customWidth="1"/>
    <col min="9" max="9" width="5.42578125" bestFit="1" customWidth="1"/>
    <col min="10" max="10" width="7.5703125" bestFit="1" customWidth="1"/>
    <col min="11" max="11" width="5.42578125" bestFit="1" customWidth="1"/>
    <col min="12" max="12" width="7.5703125" bestFit="1" customWidth="1"/>
    <col min="13" max="13" width="5.42578125" bestFit="1" customWidth="1"/>
    <col min="14" max="14" width="7.5703125" bestFit="1" customWidth="1"/>
    <col min="15" max="15" width="5.42578125" bestFit="1" customWidth="1"/>
    <col min="16" max="16" width="7.5703125" bestFit="1" customWidth="1"/>
    <col min="17" max="17" width="5.42578125" bestFit="1" customWidth="1"/>
    <col min="18" max="18" width="7.57031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648" t="s">
        <v>363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</row>
    <row r="3" spans="1:26" ht="18" x14ac:dyDescent="0.35">
      <c r="A3" s="648" t="s">
        <v>0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382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268" t="s">
        <v>15</v>
      </c>
      <c r="B6" s="269" t="s">
        <v>16</v>
      </c>
      <c r="C6" s="295" t="s">
        <v>327</v>
      </c>
      <c r="D6" s="296" t="s">
        <v>1</v>
      </c>
      <c r="E6" s="295" t="s">
        <v>328</v>
      </c>
      <c r="F6" s="296" t="s">
        <v>1</v>
      </c>
      <c r="G6" s="295" t="s">
        <v>349</v>
      </c>
      <c r="H6" s="296" t="s">
        <v>1</v>
      </c>
      <c r="I6" s="295" t="s">
        <v>350</v>
      </c>
      <c r="J6" s="296" t="s">
        <v>1</v>
      </c>
      <c r="K6" s="295" t="s">
        <v>351</v>
      </c>
      <c r="L6" s="296" t="s">
        <v>1</v>
      </c>
      <c r="M6" s="295" t="s">
        <v>353</v>
      </c>
      <c r="N6" s="296" t="s">
        <v>1</v>
      </c>
      <c r="O6" s="295" t="s">
        <v>354</v>
      </c>
      <c r="P6" s="296" t="s">
        <v>1</v>
      </c>
      <c r="Q6" s="295" t="s">
        <v>2</v>
      </c>
      <c r="R6" s="296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5.75" thickTop="1" x14ac:dyDescent="0.25">
      <c r="A7" s="270" t="s">
        <v>9</v>
      </c>
      <c r="B7" s="1">
        <v>666</v>
      </c>
      <c r="C7" s="418">
        <v>329</v>
      </c>
      <c r="D7" s="420">
        <f>((C7/$B7))-1</f>
        <v>-0.50600600600600598</v>
      </c>
      <c r="E7" s="418">
        <v>622</v>
      </c>
      <c r="F7" s="420">
        <f>((E7/$B7))-1</f>
        <v>-6.606606606606602E-2</v>
      </c>
      <c r="G7" s="2">
        <v>940</v>
      </c>
      <c r="H7" s="5">
        <f>((G7/$B7))-1</f>
        <v>0.41141141141141135</v>
      </c>
      <c r="I7" s="418">
        <v>748</v>
      </c>
      <c r="J7" s="5">
        <f>((I7/$B7))-1</f>
        <v>0.12312312312312312</v>
      </c>
      <c r="K7" s="418">
        <v>550</v>
      </c>
      <c r="L7" s="5">
        <f>((K7/$B7))-1</f>
        <v>-0.17417417417417413</v>
      </c>
      <c r="M7" s="418">
        <v>671</v>
      </c>
      <c r="N7" s="5">
        <f>((M7/$B7))-1</f>
        <v>7.5075075075075048E-3</v>
      </c>
      <c r="O7" s="418">
        <v>555</v>
      </c>
      <c r="P7" s="5">
        <f>((O7/$B7))-1</f>
        <v>-0.16666666666666663</v>
      </c>
      <c r="Q7" s="418">
        <v>565</v>
      </c>
      <c r="R7" s="5">
        <f>((Q7/$B7))-1</f>
        <v>-0.15165165165165162</v>
      </c>
      <c r="S7" s="418">
        <v>710</v>
      </c>
      <c r="T7" s="420">
        <f t="shared" ref="T7:T13" si="0">S7/$B7</f>
        <v>1.0660660660660661</v>
      </c>
      <c r="U7" s="418">
        <v>620</v>
      </c>
      <c r="V7" s="420">
        <f t="shared" ref="V7:V13" si="1">U7/$B7</f>
        <v>0.93093093093093093</v>
      </c>
      <c r="W7" s="418">
        <v>611</v>
      </c>
      <c r="X7" s="420">
        <f t="shared" ref="X7:X13" si="2">W7/$B7</f>
        <v>0.91741741741741745</v>
      </c>
      <c r="Y7" s="418">
        <v>583</v>
      </c>
      <c r="Z7" s="420">
        <f t="shared" ref="Z7:Z13" si="3">Y7/$B7</f>
        <v>0.87537537537537535</v>
      </c>
    </row>
    <row r="8" spans="1:26" x14ac:dyDescent="0.25">
      <c r="A8" s="270" t="s">
        <v>10</v>
      </c>
      <c r="B8" s="271">
        <v>2664</v>
      </c>
      <c r="C8" s="568">
        <v>634</v>
      </c>
      <c r="D8" s="420">
        <f>((C8/$B8))-1</f>
        <v>-0.76201201201201196</v>
      </c>
      <c r="E8" s="568">
        <v>1055</v>
      </c>
      <c r="F8" s="420">
        <f>((E8/$B8))-1</f>
        <v>-0.6039789789789789</v>
      </c>
      <c r="G8" s="272">
        <v>2127</v>
      </c>
      <c r="H8" s="5">
        <f t="shared" ref="H8:H13" si="4">((G8/$B8))-1</f>
        <v>-0.20157657657657657</v>
      </c>
      <c r="I8" s="545">
        <v>1992</v>
      </c>
      <c r="J8" s="5">
        <f t="shared" ref="J8:J13" si="5">((I8/$B8))-1</f>
        <v>-0.25225225225225223</v>
      </c>
      <c r="K8" s="545">
        <v>1817</v>
      </c>
      <c r="L8" s="5">
        <f>((K8/$B8))-1</f>
        <v>-0.3179429429429429</v>
      </c>
      <c r="M8" s="545">
        <v>2009</v>
      </c>
      <c r="N8" s="5">
        <f t="shared" ref="N8:N13" si="6">((M8/$B8))-1</f>
        <v>-0.24587087087087089</v>
      </c>
      <c r="O8" s="545">
        <v>1633</v>
      </c>
      <c r="P8" s="5">
        <f>((O8/$B8))-1</f>
        <v>-0.38701201201201196</v>
      </c>
      <c r="Q8" s="545">
        <v>1498</v>
      </c>
      <c r="R8" s="5">
        <f>((Q8/$B8))-1</f>
        <v>-0.43768768768768773</v>
      </c>
      <c r="S8" s="568">
        <v>1823</v>
      </c>
      <c r="T8" s="576">
        <f t="shared" si="0"/>
        <v>0.68430930930930933</v>
      </c>
      <c r="U8" s="568">
        <v>1476</v>
      </c>
      <c r="V8" s="576">
        <f t="shared" si="1"/>
        <v>0.55405405405405406</v>
      </c>
      <c r="W8" s="568">
        <v>1740</v>
      </c>
      <c r="X8" s="576">
        <f t="shared" si="2"/>
        <v>0.65315315315315314</v>
      </c>
      <c r="Y8" s="568">
        <v>1893</v>
      </c>
      <c r="Z8" s="576">
        <f t="shared" si="3"/>
        <v>0.7105855855855856</v>
      </c>
    </row>
    <row r="9" spans="1:26" x14ac:dyDescent="0.25">
      <c r="A9" s="270" t="s">
        <v>11</v>
      </c>
      <c r="B9" s="271">
        <v>1578</v>
      </c>
      <c r="C9" s="568">
        <v>4280</v>
      </c>
      <c r="D9" s="420">
        <f t="shared" ref="D9:D13" si="7">((C9/$B9))-1</f>
        <v>1.712294043092522</v>
      </c>
      <c r="E9" s="568">
        <v>4524</v>
      </c>
      <c r="F9" s="420">
        <f t="shared" ref="F9:F13" si="8">((E9/$B9))-1</f>
        <v>1.8669201520912546</v>
      </c>
      <c r="G9" s="272">
        <v>4077</v>
      </c>
      <c r="H9" s="5">
        <f t="shared" si="4"/>
        <v>1.5836501901140685</v>
      </c>
      <c r="I9" s="545">
        <v>2991</v>
      </c>
      <c r="J9" s="5">
        <f t="shared" si="5"/>
        <v>0.8954372623574145</v>
      </c>
      <c r="K9" s="545">
        <v>3266</v>
      </c>
      <c r="L9" s="5">
        <f t="shared" ref="L9:L13" si="9">((K9/$B9))-1</f>
        <v>1.0697084917617237</v>
      </c>
      <c r="M9" s="545">
        <v>3843</v>
      </c>
      <c r="N9" s="5">
        <f t="shared" si="6"/>
        <v>1.4353612167300378</v>
      </c>
      <c r="O9" s="545">
        <v>3744</v>
      </c>
      <c r="P9" s="5">
        <f t="shared" ref="P9:P13" si="10">((O9/$B9))-1</f>
        <v>1.3726235741444865</v>
      </c>
      <c r="Q9" s="545">
        <v>4092</v>
      </c>
      <c r="R9" s="5">
        <f t="shared" ref="R9:R13" si="11">((Q9/$B9))-1</f>
        <v>1.5931558935361219</v>
      </c>
      <c r="S9" s="568">
        <v>3709</v>
      </c>
      <c r="T9" s="576">
        <f t="shared" si="0"/>
        <v>2.3504435994930293</v>
      </c>
      <c r="U9" s="568">
        <v>3539</v>
      </c>
      <c r="V9" s="576">
        <f t="shared" si="1"/>
        <v>2.2427122940430926</v>
      </c>
      <c r="W9" s="568">
        <v>3565</v>
      </c>
      <c r="X9" s="576">
        <f t="shared" si="2"/>
        <v>2.2591888466413179</v>
      </c>
      <c r="Y9" s="568">
        <v>3393</v>
      </c>
      <c r="Z9" s="576">
        <f t="shared" si="3"/>
        <v>2.1501901140684412</v>
      </c>
    </row>
    <row r="10" spans="1:26" x14ac:dyDescent="0.25">
      <c r="A10" s="270" t="s">
        <v>43</v>
      </c>
      <c r="B10" s="271">
        <v>1578</v>
      </c>
      <c r="C10" s="568">
        <v>1188</v>
      </c>
      <c r="D10" s="420">
        <f t="shared" si="7"/>
        <v>-0.24714828897338403</v>
      </c>
      <c r="E10" s="568">
        <v>1423</v>
      </c>
      <c r="F10" s="420">
        <f t="shared" si="8"/>
        <v>-9.8225602027883441E-2</v>
      </c>
      <c r="G10" s="272">
        <v>2251</v>
      </c>
      <c r="H10" s="5">
        <f t="shared" si="4"/>
        <v>0.4264892268694549</v>
      </c>
      <c r="I10" s="545">
        <v>1363</v>
      </c>
      <c r="J10" s="5">
        <f t="shared" si="5"/>
        <v>-0.13624841571609636</v>
      </c>
      <c r="K10" s="545">
        <v>1344</v>
      </c>
      <c r="L10" s="5">
        <f t="shared" si="9"/>
        <v>-0.14828897338403046</v>
      </c>
      <c r="M10" s="545">
        <v>1656</v>
      </c>
      <c r="N10" s="5">
        <f t="shared" si="6"/>
        <v>4.9429657794676896E-2</v>
      </c>
      <c r="O10" s="545">
        <v>1351</v>
      </c>
      <c r="P10" s="5">
        <f t="shared" si="10"/>
        <v>-0.1438529784537389</v>
      </c>
      <c r="Q10" s="545">
        <v>1302</v>
      </c>
      <c r="R10" s="5">
        <f t="shared" si="11"/>
        <v>-0.17490494296577952</v>
      </c>
      <c r="S10" s="568">
        <v>1422</v>
      </c>
      <c r="T10" s="576">
        <f t="shared" si="0"/>
        <v>0.90114068441064643</v>
      </c>
      <c r="U10" s="568">
        <v>969</v>
      </c>
      <c r="V10" s="576">
        <f t="shared" si="1"/>
        <v>0.61406844106463876</v>
      </c>
      <c r="W10" s="568">
        <v>1193</v>
      </c>
      <c r="X10" s="576">
        <f t="shared" si="2"/>
        <v>0.75602027883396705</v>
      </c>
      <c r="Y10" s="568">
        <v>1032</v>
      </c>
      <c r="Z10" s="576">
        <f t="shared" si="3"/>
        <v>0.6539923954372624</v>
      </c>
    </row>
    <row r="11" spans="1:26" x14ac:dyDescent="0.25">
      <c r="A11" s="273" t="s">
        <v>13</v>
      </c>
      <c r="B11" s="274">
        <v>125</v>
      </c>
      <c r="C11" s="570">
        <v>0</v>
      </c>
      <c r="D11" s="560">
        <f t="shared" si="7"/>
        <v>-1</v>
      </c>
      <c r="E11" s="568">
        <v>94</v>
      </c>
      <c r="F11" s="560">
        <f t="shared" si="8"/>
        <v>-0.248</v>
      </c>
      <c r="G11" s="275">
        <v>111</v>
      </c>
      <c r="H11" s="62">
        <f t="shared" si="4"/>
        <v>-0.11199999999999999</v>
      </c>
      <c r="I11" s="545">
        <v>90</v>
      </c>
      <c r="J11" s="62">
        <f t="shared" si="5"/>
        <v>-0.28000000000000003</v>
      </c>
      <c r="K11" s="545">
        <v>84</v>
      </c>
      <c r="L11" s="62">
        <f t="shared" si="9"/>
        <v>-0.32799999999999996</v>
      </c>
      <c r="M11" s="545">
        <v>102</v>
      </c>
      <c r="N11" s="62">
        <f t="shared" si="6"/>
        <v>-0.18400000000000005</v>
      </c>
      <c r="O11" s="545">
        <v>112</v>
      </c>
      <c r="P11" s="302">
        <f t="shared" si="10"/>
        <v>-0.10399999999999998</v>
      </c>
      <c r="Q11" s="545">
        <v>121</v>
      </c>
      <c r="R11" s="302">
        <f t="shared" si="11"/>
        <v>-3.2000000000000028E-2</v>
      </c>
      <c r="S11" s="570">
        <v>110</v>
      </c>
      <c r="T11" s="576">
        <f t="shared" si="0"/>
        <v>0.88</v>
      </c>
      <c r="U11" s="568">
        <v>94</v>
      </c>
      <c r="V11" s="576">
        <f t="shared" si="1"/>
        <v>0.752</v>
      </c>
      <c r="W11" s="568">
        <v>111</v>
      </c>
      <c r="X11" s="576">
        <f t="shared" si="2"/>
        <v>0.88800000000000001</v>
      </c>
      <c r="Y11" s="568">
        <v>103</v>
      </c>
      <c r="Z11" s="576">
        <f t="shared" si="3"/>
        <v>0.82399999999999995</v>
      </c>
    </row>
    <row r="12" spans="1:26" ht="15.75" thickBot="1" x14ac:dyDescent="0.3">
      <c r="A12" s="276" t="s">
        <v>14</v>
      </c>
      <c r="B12" s="277">
        <v>1052</v>
      </c>
      <c r="C12" s="574">
        <v>523</v>
      </c>
      <c r="D12" s="575">
        <f t="shared" si="7"/>
        <v>-0.50285171102661597</v>
      </c>
      <c r="E12" s="570">
        <v>686</v>
      </c>
      <c r="F12" s="575">
        <f t="shared" si="8"/>
        <v>-0.34790874524714832</v>
      </c>
      <c r="G12" s="278">
        <v>960</v>
      </c>
      <c r="H12" s="279">
        <f t="shared" si="4"/>
        <v>-8.7452471482889704E-2</v>
      </c>
      <c r="I12" s="94">
        <v>798</v>
      </c>
      <c r="J12" s="279">
        <f t="shared" si="5"/>
        <v>-0.2414448669201521</v>
      </c>
      <c r="K12" s="94">
        <v>934</v>
      </c>
      <c r="L12" s="279">
        <f t="shared" si="9"/>
        <v>-0.11216730038022815</v>
      </c>
      <c r="M12" s="94">
        <v>823</v>
      </c>
      <c r="N12" s="279">
        <f t="shared" si="6"/>
        <v>-0.21768060836501901</v>
      </c>
      <c r="O12" s="94">
        <v>512</v>
      </c>
      <c r="P12" s="279">
        <f t="shared" si="10"/>
        <v>-0.51330798479087458</v>
      </c>
      <c r="Q12" s="94">
        <v>924</v>
      </c>
      <c r="R12" s="279">
        <f t="shared" si="11"/>
        <v>-0.12167300380228141</v>
      </c>
      <c r="S12" s="574">
        <v>727</v>
      </c>
      <c r="T12" s="577">
        <f t="shared" si="0"/>
        <v>0.69106463878326996</v>
      </c>
      <c r="U12" s="570">
        <v>598</v>
      </c>
      <c r="V12" s="577">
        <f t="shared" si="1"/>
        <v>0.5684410646387833</v>
      </c>
      <c r="W12" s="570">
        <v>871</v>
      </c>
      <c r="X12" s="577">
        <f t="shared" si="2"/>
        <v>0.82794676806083645</v>
      </c>
      <c r="Y12" s="570">
        <v>697</v>
      </c>
      <c r="Z12" s="577">
        <f t="shared" si="3"/>
        <v>0.6625475285171103</v>
      </c>
    </row>
    <row r="13" spans="1:26" ht="15.75" thickBot="1" x14ac:dyDescent="0.3">
      <c r="A13" s="68" t="s">
        <v>7</v>
      </c>
      <c r="B13" s="72">
        <f>SUM(B7:B12)</f>
        <v>7663</v>
      </c>
      <c r="C13" s="76">
        <f>SUM(C7:C12)</f>
        <v>6954</v>
      </c>
      <c r="D13" s="90">
        <f t="shared" si="7"/>
        <v>-9.2522510766018584E-2</v>
      </c>
      <c r="E13" s="76">
        <f>SUM(E7:E12)</f>
        <v>8404</v>
      </c>
      <c r="F13" s="90">
        <f t="shared" si="8"/>
        <v>9.6698420983948763E-2</v>
      </c>
      <c r="G13" s="76">
        <f>SUM(G7:G12)</f>
        <v>10466</v>
      </c>
      <c r="H13" s="90">
        <f t="shared" si="4"/>
        <v>0.36578363565183358</v>
      </c>
      <c r="I13" s="76">
        <f>SUM(I7:I12)</f>
        <v>7982</v>
      </c>
      <c r="J13" s="90">
        <f t="shared" si="5"/>
        <v>4.1628604984992768E-2</v>
      </c>
      <c r="K13" s="76">
        <f>SUM(K7:K12)</f>
        <v>7995</v>
      </c>
      <c r="L13" s="90">
        <f t="shared" si="9"/>
        <v>4.332506851102691E-2</v>
      </c>
      <c r="M13" s="76">
        <f>SUM(M7:M12)</f>
        <v>9104</v>
      </c>
      <c r="N13" s="90">
        <f t="shared" si="6"/>
        <v>0.18804645700117439</v>
      </c>
      <c r="O13" s="76">
        <f>SUM(O7:O12)</f>
        <v>7907</v>
      </c>
      <c r="P13" s="90">
        <f t="shared" si="10"/>
        <v>3.1841315411718751E-2</v>
      </c>
      <c r="Q13" s="76">
        <f>SUM(Q7:Q12)</f>
        <v>8502</v>
      </c>
      <c r="R13" s="90">
        <f t="shared" si="11"/>
        <v>0.10948714602636045</v>
      </c>
      <c r="S13" s="591">
        <f>SUM(S7:S12)</f>
        <v>8501</v>
      </c>
      <c r="T13" s="592">
        <f t="shared" si="0"/>
        <v>1.1093566488320501</v>
      </c>
      <c r="U13" s="591">
        <f>SUM(U7:U12)</f>
        <v>7296</v>
      </c>
      <c r="V13" s="592">
        <f t="shared" si="1"/>
        <v>0.95210752968811174</v>
      </c>
      <c r="W13" s="591">
        <f>SUM(W7:W12)</f>
        <v>8091</v>
      </c>
      <c r="X13" s="592">
        <f t="shared" si="2"/>
        <v>1.0558527991648179</v>
      </c>
      <c r="Y13" s="591">
        <f>SUM(Y7:Y12)</f>
        <v>7701</v>
      </c>
      <c r="Z13" s="592">
        <f t="shared" si="3"/>
        <v>1.0049588933837923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&amp;LFonte: Sistema WEBSAASS&amp;RPag.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Z11"/>
  <sheetViews>
    <sheetView workbookViewId="0"/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7.5703125" bestFit="1" customWidth="1"/>
    <col min="5" max="5" width="5.42578125" bestFit="1" customWidth="1"/>
    <col min="6" max="6" width="7.5703125" bestFit="1" customWidth="1"/>
    <col min="7" max="7" width="5.42578125" bestFit="1" customWidth="1"/>
    <col min="8" max="8" width="7.5703125" bestFit="1" customWidth="1"/>
    <col min="9" max="9" width="5.42578125" bestFit="1" customWidth="1"/>
    <col min="10" max="10" width="7.5703125" bestFit="1" customWidth="1"/>
    <col min="11" max="11" width="5.42578125" bestFit="1" customWidth="1"/>
    <col min="12" max="12" width="7.5703125" bestFit="1" customWidth="1"/>
    <col min="13" max="13" width="5.42578125" bestFit="1" customWidth="1"/>
    <col min="14" max="14" width="7.5703125" bestFit="1" customWidth="1"/>
    <col min="15" max="15" width="5.42578125" bestFit="1" customWidth="1"/>
    <col min="16" max="16" width="7.5703125" bestFit="1" customWidth="1"/>
    <col min="17" max="17" width="5.42578125" bestFit="1" customWidth="1"/>
    <col min="18" max="18" width="7.57031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648" t="s">
        <v>363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</row>
    <row r="3" spans="1:26" ht="18" x14ac:dyDescent="0.35">
      <c r="A3" s="648" t="s">
        <v>0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381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251" t="s">
        <v>15</v>
      </c>
      <c r="B6" s="252" t="s">
        <v>16</v>
      </c>
      <c r="C6" s="295" t="s">
        <v>327</v>
      </c>
      <c r="D6" s="296" t="s">
        <v>1</v>
      </c>
      <c r="E6" s="295" t="s">
        <v>328</v>
      </c>
      <c r="F6" s="296" t="s">
        <v>1</v>
      </c>
      <c r="G6" s="295" t="s">
        <v>349</v>
      </c>
      <c r="H6" s="296" t="s">
        <v>1</v>
      </c>
      <c r="I6" s="295" t="s">
        <v>350</v>
      </c>
      <c r="J6" s="296" t="s">
        <v>1</v>
      </c>
      <c r="K6" s="295" t="s">
        <v>351</v>
      </c>
      <c r="L6" s="296" t="s">
        <v>1</v>
      </c>
      <c r="M6" s="295" t="s">
        <v>353</v>
      </c>
      <c r="N6" s="296" t="s">
        <v>1</v>
      </c>
      <c r="O6" s="295" t="s">
        <v>354</v>
      </c>
      <c r="P6" s="296" t="s">
        <v>1</v>
      </c>
      <c r="Q6" s="295" t="s">
        <v>2</v>
      </c>
      <c r="R6" s="296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5.75" thickTop="1" x14ac:dyDescent="0.25">
      <c r="A7" s="253" t="s">
        <v>11</v>
      </c>
      <c r="B7" s="254">
        <v>2104</v>
      </c>
      <c r="C7" s="568">
        <v>514</v>
      </c>
      <c r="D7" s="576">
        <f>((C7/$B7))-1</f>
        <v>-0.75570342205323193</v>
      </c>
      <c r="E7" s="568">
        <v>664</v>
      </c>
      <c r="F7" s="576">
        <f>((E7/$B7))-1</f>
        <v>-0.68441064638783278</v>
      </c>
      <c r="G7" s="255">
        <v>1113</v>
      </c>
      <c r="H7" s="256">
        <f>((G7/$B7))-1</f>
        <v>-0.4710076045627376</v>
      </c>
      <c r="I7" s="545">
        <v>1183</v>
      </c>
      <c r="J7" s="256">
        <f>((I7/$B7))-1</f>
        <v>-0.43773764258555137</v>
      </c>
      <c r="K7" s="545">
        <v>1096</v>
      </c>
      <c r="L7" s="256">
        <f>((K7/$B7))-1</f>
        <v>-0.47908745247148288</v>
      </c>
      <c r="M7" s="545">
        <v>1314</v>
      </c>
      <c r="N7" s="256">
        <f>((M7/$B7))-1</f>
        <v>-0.37547528517110262</v>
      </c>
      <c r="O7" s="545">
        <v>1191</v>
      </c>
      <c r="P7" s="256">
        <f>((O7/$B7))-1</f>
        <v>-0.43393536121673004</v>
      </c>
      <c r="Q7" s="545">
        <v>1702</v>
      </c>
      <c r="R7" s="256">
        <f>((Q7/$B7))-1</f>
        <v>-0.19106463878326996</v>
      </c>
      <c r="S7" s="568">
        <v>1764</v>
      </c>
      <c r="T7" s="576">
        <f t="shared" ref="T7:T11" si="0">S7/$B7</f>
        <v>0.83840304182509506</v>
      </c>
      <c r="U7" s="568">
        <v>1733</v>
      </c>
      <c r="V7" s="576">
        <f t="shared" ref="V7:V11" si="1">U7/$B7</f>
        <v>0.8236692015209125</v>
      </c>
      <c r="W7" s="568">
        <v>1699</v>
      </c>
      <c r="X7" s="576">
        <f t="shared" ref="X7:X11" si="2">W7/$B7</f>
        <v>0.80750950570342206</v>
      </c>
      <c r="Y7" s="568">
        <v>1764</v>
      </c>
      <c r="Z7" s="576">
        <f t="shared" ref="Z7:Z11" si="3">Y7/$B7</f>
        <v>0.83840304182509506</v>
      </c>
    </row>
    <row r="8" spans="1:26" x14ac:dyDescent="0.25">
      <c r="A8" s="253" t="s">
        <v>43</v>
      </c>
      <c r="B8" s="254">
        <v>789</v>
      </c>
      <c r="C8" s="568">
        <v>227</v>
      </c>
      <c r="D8" s="576">
        <f t="shared" ref="D8:D11" si="4">((C8/$B8))-1</f>
        <v>-0.7122940430925222</v>
      </c>
      <c r="E8" s="568">
        <v>382</v>
      </c>
      <c r="F8" s="576">
        <f t="shared" ref="F8:F11" si="5">((E8/$B8))-1</f>
        <v>-0.51584283903675532</v>
      </c>
      <c r="G8" s="255">
        <v>659</v>
      </c>
      <c r="H8" s="256">
        <f t="shared" ref="H8:H11" si="6">((G8/$B8))-1</f>
        <v>-0.16476552598225602</v>
      </c>
      <c r="I8" s="545">
        <v>508</v>
      </c>
      <c r="J8" s="256">
        <f t="shared" ref="J8:J11" si="7">((I8/$B8))-1</f>
        <v>-0.3561470215462611</v>
      </c>
      <c r="K8" s="545">
        <v>603</v>
      </c>
      <c r="L8" s="256">
        <f t="shared" ref="L8:L11" si="8">((K8/$B8))-1</f>
        <v>-0.23574144486692017</v>
      </c>
      <c r="M8" s="545">
        <v>190</v>
      </c>
      <c r="N8" s="256">
        <f t="shared" ref="N8:N11" si="9">((M8/$B8))-1</f>
        <v>-0.75918884664131814</v>
      </c>
      <c r="O8" s="545">
        <v>572</v>
      </c>
      <c r="P8" s="256">
        <f t="shared" ref="P8:P11" si="10">((O8/$B8))-1</f>
        <v>-0.27503168567807346</v>
      </c>
      <c r="Q8" s="545">
        <v>632</v>
      </c>
      <c r="R8" s="256">
        <f t="shared" ref="R8:R11" si="11">((Q8/$B8))-1</f>
        <v>-0.19898605830164762</v>
      </c>
      <c r="S8" s="568">
        <v>581</v>
      </c>
      <c r="T8" s="576">
        <f>S8/$B8</f>
        <v>0.73637515842839041</v>
      </c>
      <c r="U8" s="568">
        <v>587</v>
      </c>
      <c r="V8" s="576">
        <f>U8/$B8</f>
        <v>0.74397972116603295</v>
      </c>
      <c r="W8" s="568">
        <v>631</v>
      </c>
      <c r="X8" s="576">
        <f>W8/$B8</f>
        <v>0.7997465145754119</v>
      </c>
      <c r="Y8" s="568">
        <v>491</v>
      </c>
      <c r="Z8" s="576">
        <f t="shared" si="3"/>
        <v>0.62230671736375154</v>
      </c>
    </row>
    <row r="9" spans="1:26" x14ac:dyDescent="0.25">
      <c r="A9" s="257" t="s">
        <v>13</v>
      </c>
      <c r="B9" s="258">
        <v>125</v>
      </c>
      <c r="C9" s="570">
        <v>269</v>
      </c>
      <c r="D9" s="577">
        <f t="shared" si="4"/>
        <v>1.1520000000000001</v>
      </c>
      <c r="E9" s="568">
        <v>501</v>
      </c>
      <c r="F9" s="577">
        <f t="shared" si="5"/>
        <v>3.008</v>
      </c>
      <c r="G9" s="259">
        <v>451</v>
      </c>
      <c r="H9" s="260">
        <f t="shared" si="6"/>
        <v>2.6080000000000001</v>
      </c>
      <c r="I9" s="545">
        <v>483</v>
      </c>
      <c r="J9" s="260">
        <f t="shared" si="7"/>
        <v>2.8639999999999999</v>
      </c>
      <c r="K9" s="545">
        <v>227</v>
      </c>
      <c r="L9" s="260">
        <f t="shared" si="8"/>
        <v>0.81600000000000006</v>
      </c>
      <c r="M9" s="545">
        <v>496</v>
      </c>
      <c r="N9" s="260">
        <f t="shared" si="9"/>
        <v>2.968</v>
      </c>
      <c r="O9" s="545">
        <v>435</v>
      </c>
      <c r="P9" s="260">
        <f t="shared" si="10"/>
        <v>2.48</v>
      </c>
      <c r="Q9" s="545">
        <v>350</v>
      </c>
      <c r="R9" s="260">
        <f t="shared" si="11"/>
        <v>1.7999999999999998</v>
      </c>
      <c r="S9" s="570">
        <v>337</v>
      </c>
      <c r="T9" s="576">
        <f t="shared" si="0"/>
        <v>2.6960000000000002</v>
      </c>
      <c r="U9" s="568">
        <v>308</v>
      </c>
      <c r="V9" s="576">
        <f t="shared" si="1"/>
        <v>2.464</v>
      </c>
      <c r="W9" s="568">
        <v>287</v>
      </c>
      <c r="X9" s="576">
        <f t="shared" si="2"/>
        <v>2.2959999999999998</v>
      </c>
      <c r="Y9" s="568">
        <v>373</v>
      </c>
      <c r="Z9" s="576">
        <f t="shared" si="3"/>
        <v>2.984</v>
      </c>
    </row>
    <row r="10" spans="1:26" ht="15.75" thickBot="1" x14ac:dyDescent="0.3">
      <c r="A10" s="261" t="s">
        <v>14</v>
      </c>
      <c r="B10" s="262">
        <v>1315</v>
      </c>
      <c r="C10" s="574">
        <v>272</v>
      </c>
      <c r="D10" s="575">
        <f t="shared" si="4"/>
        <v>-0.7931558935361217</v>
      </c>
      <c r="E10" s="578">
        <v>319</v>
      </c>
      <c r="F10" s="575">
        <f t="shared" si="5"/>
        <v>-0.75741444866920149</v>
      </c>
      <c r="G10" s="263">
        <v>465</v>
      </c>
      <c r="H10" s="264">
        <f t="shared" si="6"/>
        <v>-0.64638783269961975</v>
      </c>
      <c r="I10" s="546">
        <v>248</v>
      </c>
      <c r="J10" s="264">
        <f t="shared" si="7"/>
        <v>-0.81140684410646391</v>
      </c>
      <c r="K10" s="546">
        <v>300</v>
      </c>
      <c r="L10" s="264">
        <f t="shared" si="8"/>
        <v>-0.77186311787072248</v>
      </c>
      <c r="M10" s="546">
        <v>391</v>
      </c>
      <c r="N10" s="264">
        <f t="shared" si="9"/>
        <v>-0.70266159695817487</v>
      </c>
      <c r="O10" s="546">
        <v>521</v>
      </c>
      <c r="P10" s="264">
        <f t="shared" si="10"/>
        <v>-0.6038022813688213</v>
      </c>
      <c r="Q10" s="546">
        <v>656</v>
      </c>
      <c r="R10" s="264">
        <f t="shared" si="11"/>
        <v>-0.50114068441064641</v>
      </c>
      <c r="S10" s="578">
        <v>497</v>
      </c>
      <c r="T10" s="599">
        <f t="shared" si="0"/>
        <v>0.37794676806083649</v>
      </c>
      <c r="U10" s="578">
        <v>421</v>
      </c>
      <c r="V10" s="599">
        <f t="shared" si="1"/>
        <v>0.32015209125475286</v>
      </c>
      <c r="W10" s="578">
        <v>548</v>
      </c>
      <c r="X10" s="599">
        <f t="shared" si="2"/>
        <v>0.41673003802281366</v>
      </c>
      <c r="Y10" s="578">
        <v>571</v>
      </c>
      <c r="Z10" s="599">
        <f t="shared" si="3"/>
        <v>0.43422053231939162</v>
      </c>
    </row>
    <row r="11" spans="1:26" ht="15.75" thickBot="1" x14ac:dyDescent="0.3">
      <c r="A11" s="68" t="s">
        <v>7</v>
      </c>
      <c r="B11" s="72">
        <f>SUM(B7:B10)</f>
        <v>4333</v>
      </c>
      <c r="C11" s="76">
        <f>SUM(C7:C10)</f>
        <v>1282</v>
      </c>
      <c r="D11" s="90">
        <f t="shared" si="4"/>
        <v>-0.7041310870066928</v>
      </c>
      <c r="E11" s="76">
        <f>SUM(E7:E10)</f>
        <v>1866</v>
      </c>
      <c r="F11" s="90">
        <f t="shared" si="5"/>
        <v>-0.56935148857604423</v>
      </c>
      <c r="G11" s="76">
        <f>SUM(G7:G10)</f>
        <v>2688</v>
      </c>
      <c r="H11" s="90">
        <f t="shared" si="6"/>
        <v>-0.37964458804523427</v>
      </c>
      <c r="I11" s="76">
        <f>SUM(I7:I10)</f>
        <v>2422</v>
      </c>
      <c r="J11" s="90">
        <f t="shared" si="7"/>
        <v>-0.44103392568659128</v>
      </c>
      <c r="K11" s="76">
        <f>SUM(K7:K10)</f>
        <v>2226</v>
      </c>
      <c r="L11" s="90">
        <f t="shared" si="8"/>
        <v>-0.48626817447495962</v>
      </c>
      <c r="M11" s="76">
        <f>SUM(M7:M10)</f>
        <v>2391</v>
      </c>
      <c r="N11" s="90">
        <f t="shared" si="9"/>
        <v>-0.44818832217862914</v>
      </c>
      <c r="O11" s="76">
        <f>SUM(O7:O10)</f>
        <v>2719</v>
      </c>
      <c r="P11" s="90">
        <f t="shared" si="10"/>
        <v>-0.3724901915531964</v>
      </c>
      <c r="Q11" s="76">
        <f>SUM(Q7:Q10)</f>
        <v>3340</v>
      </c>
      <c r="R11" s="90">
        <f t="shared" si="11"/>
        <v>-0.22917147472882526</v>
      </c>
      <c r="S11" s="573">
        <f>SUM(S7:S10)</f>
        <v>3179</v>
      </c>
      <c r="T11" s="561">
        <f t="shared" si="0"/>
        <v>0.73367182090930072</v>
      </c>
      <c r="U11" s="573">
        <f>SUM(U7:U10)</f>
        <v>3049</v>
      </c>
      <c r="V11" s="561">
        <f t="shared" si="1"/>
        <v>0.70366951303946457</v>
      </c>
      <c r="W11" s="573">
        <f>SUM(W7:W10)</f>
        <v>3165</v>
      </c>
      <c r="X11" s="561">
        <f t="shared" si="2"/>
        <v>0.73044080313870297</v>
      </c>
      <c r="Y11" s="573">
        <f>SUM(Y7:Y10)</f>
        <v>3199</v>
      </c>
      <c r="Z11" s="561">
        <f t="shared" si="3"/>
        <v>0.73828756058158318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Z18"/>
  <sheetViews>
    <sheetView workbookViewId="0"/>
  </sheetViews>
  <sheetFormatPr defaultColWidth="8.85546875" defaultRowHeight="15" x14ac:dyDescent="0.25"/>
  <cols>
    <col min="1" max="1" width="32.85546875" customWidth="1"/>
    <col min="2" max="2" width="11.85546875" customWidth="1"/>
    <col min="3" max="3" width="5.42578125" bestFit="1" customWidth="1"/>
    <col min="4" max="4" width="7.5703125" bestFit="1" customWidth="1"/>
    <col min="5" max="5" width="4" bestFit="1" customWidth="1"/>
    <col min="6" max="6" width="7.5703125" bestFit="1" customWidth="1"/>
    <col min="7" max="7" width="5.42578125" bestFit="1" customWidth="1"/>
    <col min="8" max="8" width="7.5703125" bestFit="1" customWidth="1"/>
    <col min="9" max="9" width="5.42578125" bestFit="1" customWidth="1"/>
    <col min="10" max="10" width="7.5703125" bestFit="1" customWidth="1"/>
    <col min="11" max="11" width="5.42578125" bestFit="1" customWidth="1"/>
    <col min="12" max="12" width="7.5703125" bestFit="1" customWidth="1"/>
    <col min="13" max="13" width="5.42578125" bestFit="1" customWidth="1"/>
    <col min="14" max="14" width="7.5703125" bestFit="1" customWidth="1"/>
    <col min="15" max="15" width="5.42578125" bestFit="1" customWidth="1"/>
    <col min="16" max="16" width="7.5703125" bestFit="1" customWidth="1"/>
    <col min="17" max="17" width="5.42578125" bestFit="1" customWidth="1"/>
    <col min="18" max="18" width="7.5703125" bestFit="1" customWidth="1"/>
    <col min="19" max="19" width="5.42578125" bestFit="1" customWidth="1"/>
    <col min="20" max="20" width="9.28515625" bestFit="1" customWidth="1"/>
    <col min="21" max="21" width="5.42578125" bestFit="1" customWidth="1"/>
    <col min="22" max="22" width="9.28515625" customWidth="1"/>
    <col min="23" max="23" width="5.42578125" bestFit="1" customWidth="1"/>
    <col min="24" max="24" width="9.28515625" bestFit="1" customWidth="1"/>
    <col min="25" max="25" width="5.42578125" bestFit="1" customWidth="1"/>
    <col min="26" max="26" width="9.28515625" bestFit="1" customWidth="1"/>
  </cols>
  <sheetData>
    <row r="2" spans="1:26" ht="18" x14ac:dyDescent="0.35">
      <c r="A2" s="648" t="s">
        <v>363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</row>
    <row r="3" spans="1:26" ht="18" x14ac:dyDescent="0.35">
      <c r="A3" s="648" t="s">
        <v>331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380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15.75" thickBot="1" x14ac:dyDescent="0.3">
      <c r="A6" s="95" t="s">
        <v>15</v>
      </c>
      <c r="B6" s="96" t="s">
        <v>16</v>
      </c>
      <c r="C6" s="579" t="s">
        <v>327</v>
      </c>
      <c r="D6" s="580" t="s">
        <v>1</v>
      </c>
      <c r="E6" s="579" t="s">
        <v>328</v>
      </c>
      <c r="F6" s="580" t="s">
        <v>1</v>
      </c>
      <c r="G6" s="295" t="s">
        <v>349</v>
      </c>
      <c r="H6" s="296" t="s">
        <v>1</v>
      </c>
      <c r="I6" s="295" t="s">
        <v>350</v>
      </c>
      <c r="J6" s="296" t="s">
        <v>1</v>
      </c>
      <c r="K6" s="295" t="s">
        <v>351</v>
      </c>
      <c r="L6" s="296" t="s">
        <v>1</v>
      </c>
      <c r="M6" s="295" t="s">
        <v>353</v>
      </c>
      <c r="N6" s="296" t="s">
        <v>1</v>
      </c>
      <c r="O6" s="295" t="s">
        <v>354</v>
      </c>
      <c r="P6" s="296" t="s">
        <v>1</v>
      </c>
      <c r="Q6" s="295" t="s">
        <v>2</v>
      </c>
      <c r="R6" s="296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5.75" thickTop="1" x14ac:dyDescent="0.25">
      <c r="A7" s="600" t="s">
        <v>54</v>
      </c>
      <c r="B7" s="43">
        <v>90</v>
      </c>
      <c r="C7" s="558">
        <v>261</v>
      </c>
      <c r="D7" s="560">
        <f>((C7/$B7))-1</f>
        <v>1.9</v>
      </c>
      <c r="E7" s="558">
        <v>346</v>
      </c>
      <c r="F7" s="560">
        <f>((E7/$B7))-1</f>
        <v>2.8444444444444446</v>
      </c>
      <c r="G7" s="558">
        <v>396</v>
      </c>
      <c r="H7" s="560">
        <f>((G7/$B7))-1</f>
        <v>3.4000000000000004</v>
      </c>
      <c r="I7" s="558">
        <v>223</v>
      </c>
      <c r="J7" s="560">
        <f>((I7/$B7))-1</f>
        <v>1.4777777777777779</v>
      </c>
      <c r="K7" s="558">
        <v>304</v>
      </c>
      <c r="L7" s="560">
        <f>((K7/$B7))-1</f>
        <v>2.3777777777777778</v>
      </c>
      <c r="M7" s="558">
        <v>298</v>
      </c>
      <c r="N7" s="560">
        <f>((M7/$B7))-1</f>
        <v>2.3111111111111109</v>
      </c>
      <c r="O7" s="558">
        <v>359</v>
      </c>
      <c r="P7" s="560">
        <f>((O7/$B7))-1</f>
        <v>2.9888888888888889</v>
      </c>
      <c r="Q7" s="558">
        <v>289</v>
      </c>
      <c r="R7" s="560">
        <f>((Q7/$B7))-1</f>
        <v>2.2111111111111112</v>
      </c>
      <c r="S7" s="418">
        <v>230</v>
      </c>
      <c r="T7" s="420">
        <f t="shared" ref="T7:T16" si="0">S7/$B7</f>
        <v>2.5555555555555554</v>
      </c>
      <c r="U7" s="418">
        <v>353</v>
      </c>
      <c r="V7" s="420">
        <f>U7/$B7</f>
        <v>3.9222222222222221</v>
      </c>
      <c r="W7" s="418">
        <v>305</v>
      </c>
      <c r="X7" s="420">
        <f>W7/$B7</f>
        <v>3.3888888888888888</v>
      </c>
      <c r="Y7" s="418">
        <v>240</v>
      </c>
      <c r="Z7" s="420">
        <f t="shared" ref="Z7:Z16" si="1">Y7/$B7</f>
        <v>2.6666666666666665</v>
      </c>
    </row>
    <row r="8" spans="1:26" ht="27" customHeight="1" x14ac:dyDescent="0.25">
      <c r="A8" s="601" t="s">
        <v>55</v>
      </c>
      <c r="B8" s="602" t="s">
        <v>102</v>
      </c>
      <c r="C8" s="569">
        <v>73</v>
      </c>
      <c r="D8" s="603"/>
      <c r="E8" s="569">
        <v>60</v>
      </c>
      <c r="F8" s="603"/>
      <c r="G8" s="569">
        <v>76</v>
      </c>
      <c r="H8" s="603"/>
      <c r="I8" s="569">
        <v>55</v>
      </c>
      <c r="J8" s="603"/>
      <c r="K8" s="569">
        <v>67</v>
      </c>
      <c r="L8" s="603"/>
      <c r="M8" s="569">
        <v>91</v>
      </c>
      <c r="N8" s="603"/>
      <c r="O8" s="569">
        <v>84</v>
      </c>
      <c r="P8" s="603"/>
      <c r="Q8" s="569">
        <v>59</v>
      </c>
      <c r="R8" s="603"/>
      <c r="S8" s="568">
        <v>61</v>
      </c>
      <c r="T8" s="420" t="e">
        <f t="shared" si="0"/>
        <v>#VALUE!</v>
      </c>
      <c r="U8" s="568">
        <v>54</v>
      </c>
      <c r="V8" s="420" t="e">
        <f t="shared" ref="V8:V16" si="2">U8/$B8</f>
        <v>#VALUE!</v>
      </c>
      <c r="W8" s="568">
        <v>69</v>
      </c>
      <c r="X8" s="420" t="e">
        <f t="shared" ref="X8:X16" si="3">W8/$B8</f>
        <v>#VALUE!</v>
      </c>
      <c r="Y8" s="568">
        <v>84</v>
      </c>
      <c r="Z8" s="420" t="e">
        <f t="shared" si="1"/>
        <v>#VALUE!</v>
      </c>
    </row>
    <row r="9" spans="1:26" x14ac:dyDescent="0.25">
      <c r="A9" s="601" t="s">
        <v>56</v>
      </c>
      <c r="B9" s="602">
        <v>90</v>
      </c>
      <c r="C9" s="569">
        <v>87</v>
      </c>
      <c r="D9" s="588">
        <f t="shared" ref="D9:D16" si="4">((C9/$B9))-1</f>
        <v>-3.3333333333333326E-2</v>
      </c>
      <c r="E9" s="569">
        <v>60</v>
      </c>
      <c r="F9" s="588">
        <f t="shared" ref="F9:F16" si="5">((E9/$B9))-1</f>
        <v>-0.33333333333333337</v>
      </c>
      <c r="G9" s="569">
        <v>56</v>
      </c>
      <c r="H9" s="588">
        <f t="shared" ref="H9:H16" si="6">((G9/$B9))-1</f>
        <v>-0.37777777777777777</v>
      </c>
      <c r="I9" s="569">
        <v>101</v>
      </c>
      <c r="J9" s="588">
        <f t="shared" ref="J9:J16" si="7">((I9/$B9))-1</f>
        <v>0.12222222222222223</v>
      </c>
      <c r="K9" s="569">
        <v>54</v>
      </c>
      <c r="L9" s="588">
        <f t="shared" ref="L9:L16" si="8">((K9/$B9))-1</f>
        <v>-0.4</v>
      </c>
      <c r="M9" s="569">
        <v>131</v>
      </c>
      <c r="N9" s="588">
        <f t="shared" ref="N9:N16" si="9">((M9/$B9))-1</f>
        <v>0.45555555555555549</v>
      </c>
      <c r="O9" s="569">
        <v>90</v>
      </c>
      <c r="P9" s="588">
        <f t="shared" ref="P9:P16" si="10">((O9/$B9))-1</f>
        <v>0</v>
      </c>
      <c r="Q9" s="569">
        <v>160</v>
      </c>
      <c r="R9" s="588">
        <f t="shared" ref="R9:R16" si="11">((Q9/$B9))-1</f>
        <v>0.77777777777777768</v>
      </c>
      <c r="S9" s="568">
        <v>204</v>
      </c>
      <c r="T9" s="420">
        <f t="shared" si="0"/>
        <v>2.2666666666666666</v>
      </c>
      <c r="U9" s="568">
        <v>71</v>
      </c>
      <c r="V9" s="420">
        <f t="shared" si="2"/>
        <v>0.78888888888888886</v>
      </c>
      <c r="W9" s="568">
        <v>179</v>
      </c>
      <c r="X9" s="420">
        <f t="shared" si="3"/>
        <v>1.9888888888888889</v>
      </c>
      <c r="Y9" s="568">
        <v>200</v>
      </c>
      <c r="Z9" s="420">
        <f t="shared" si="1"/>
        <v>2.2222222222222223</v>
      </c>
    </row>
    <row r="10" spans="1:26" x14ac:dyDescent="0.25">
      <c r="A10" s="601" t="s">
        <v>57</v>
      </c>
      <c r="B10" s="602">
        <v>60</v>
      </c>
      <c r="C10" s="569">
        <v>78</v>
      </c>
      <c r="D10" s="588">
        <f t="shared" si="4"/>
        <v>0.30000000000000004</v>
      </c>
      <c r="E10" s="569">
        <v>85</v>
      </c>
      <c r="F10" s="588">
        <f t="shared" si="5"/>
        <v>0.41666666666666674</v>
      </c>
      <c r="G10" s="569">
        <v>83</v>
      </c>
      <c r="H10" s="588">
        <f t="shared" si="6"/>
        <v>0.3833333333333333</v>
      </c>
      <c r="I10" s="569">
        <v>54</v>
      </c>
      <c r="J10" s="588">
        <f t="shared" si="7"/>
        <v>-9.9999999999999978E-2</v>
      </c>
      <c r="K10" s="569">
        <v>69</v>
      </c>
      <c r="L10" s="588">
        <f t="shared" si="8"/>
        <v>0.14999999999999991</v>
      </c>
      <c r="M10" s="569">
        <v>104</v>
      </c>
      <c r="N10" s="588">
        <f t="shared" si="9"/>
        <v>0.73333333333333339</v>
      </c>
      <c r="O10" s="569">
        <v>147</v>
      </c>
      <c r="P10" s="588">
        <f t="shared" si="10"/>
        <v>1.4500000000000002</v>
      </c>
      <c r="Q10" s="569">
        <v>127</v>
      </c>
      <c r="R10" s="588">
        <f t="shared" si="11"/>
        <v>1.1166666666666667</v>
      </c>
      <c r="S10" s="568">
        <v>58</v>
      </c>
      <c r="T10" s="420">
        <f t="shared" si="0"/>
        <v>0.96666666666666667</v>
      </c>
      <c r="U10" s="568">
        <v>37</v>
      </c>
      <c r="V10" s="420">
        <f t="shared" si="2"/>
        <v>0.6166666666666667</v>
      </c>
      <c r="W10" s="568">
        <v>81</v>
      </c>
      <c r="X10" s="420">
        <f t="shared" si="3"/>
        <v>1.35</v>
      </c>
      <c r="Y10" s="568">
        <v>51</v>
      </c>
      <c r="Z10" s="420">
        <f t="shared" si="1"/>
        <v>0.85</v>
      </c>
    </row>
    <row r="11" spans="1:26" x14ac:dyDescent="0.25">
      <c r="A11" s="601" t="s">
        <v>58</v>
      </c>
      <c r="B11" s="602">
        <v>126</v>
      </c>
      <c r="C11" s="569">
        <v>178</v>
      </c>
      <c r="D11" s="588">
        <f t="shared" si="4"/>
        <v>0.41269841269841279</v>
      </c>
      <c r="E11" s="569">
        <v>154</v>
      </c>
      <c r="F11" s="588">
        <f t="shared" si="5"/>
        <v>0.22222222222222232</v>
      </c>
      <c r="G11" s="569">
        <v>319</v>
      </c>
      <c r="H11" s="588">
        <f t="shared" si="6"/>
        <v>1.5317460317460316</v>
      </c>
      <c r="I11" s="569">
        <v>238</v>
      </c>
      <c r="J11" s="588">
        <f t="shared" si="7"/>
        <v>0.88888888888888884</v>
      </c>
      <c r="K11" s="569">
        <v>108</v>
      </c>
      <c r="L11" s="588">
        <f t="shared" si="8"/>
        <v>-0.1428571428571429</v>
      </c>
      <c r="M11" s="569">
        <v>164</v>
      </c>
      <c r="N11" s="588">
        <f t="shared" si="9"/>
        <v>0.30158730158730163</v>
      </c>
      <c r="O11" s="569">
        <v>55</v>
      </c>
      <c r="P11" s="588">
        <f t="shared" si="10"/>
        <v>-0.56349206349206349</v>
      </c>
      <c r="Q11" s="569">
        <v>364</v>
      </c>
      <c r="R11" s="588">
        <f t="shared" si="11"/>
        <v>1.8888888888888888</v>
      </c>
      <c r="S11" s="568">
        <v>182</v>
      </c>
      <c r="T11" s="420">
        <f t="shared" si="0"/>
        <v>1.4444444444444444</v>
      </c>
      <c r="U11" s="568">
        <v>157</v>
      </c>
      <c r="V11" s="420">
        <f t="shared" si="2"/>
        <v>1.246031746031746</v>
      </c>
      <c r="W11" s="568">
        <v>414</v>
      </c>
      <c r="X11" s="420">
        <f t="shared" si="3"/>
        <v>3.2857142857142856</v>
      </c>
      <c r="Y11" s="568">
        <v>139</v>
      </c>
      <c r="Z11" s="420">
        <f t="shared" si="1"/>
        <v>1.1031746031746033</v>
      </c>
    </row>
    <row r="12" spans="1:26" x14ac:dyDescent="0.25">
      <c r="A12" s="604" t="s">
        <v>59</v>
      </c>
      <c r="B12" s="602">
        <v>120</v>
      </c>
      <c r="C12" s="569">
        <v>294</v>
      </c>
      <c r="D12" s="588">
        <f t="shared" si="4"/>
        <v>1.4500000000000002</v>
      </c>
      <c r="E12" s="569">
        <v>235</v>
      </c>
      <c r="F12" s="588">
        <f t="shared" si="5"/>
        <v>0.95833333333333326</v>
      </c>
      <c r="G12" s="569">
        <v>400</v>
      </c>
      <c r="H12" s="588">
        <f t="shared" si="6"/>
        <v>2.3333333333333335</v>
      </c>
      <c r="I12" s="569">
        <v>349</v>
      </c>
      <c r="J12" s="588">
        <f t="shared" si="7"/>
        <v>1.9083333333333332</v>
      </c>
      <c r="K12" s="569">
        <v>340</v>
      </c>
      <c r="L12" s="588">
        <f t="shared" si="8"/>
        <v>1.8333333333333335</v>
      </c>
      <c r="M12" s="569">
        <v>474</v>
      </c>
      <c r="N12" s="588">
        <f t="shared" si="9"/>
        <v>2.95</v>
      </c>
      <c r="O12" s="569">
        <v>316</v>
      </c>
      <c r="P12" s="588">
        <f t="shared" si="10"/>
        <v>1.6333333333333333</v>
      </c>
      <c r="Q12" s="569">
        <v>368</v>
      </c>
      <c r="R12" s="588">
        <f t="shared" si="11"/>
        <v>2.0666666666666669</v>
      </c>
      <c r="S12" s="568">
        <v>403</v>
      </c>
      <c r="T12" s="420">
        <f t="shared" si="0"/>
        <v>3.3583333333333334</v>
      </c>
      <c r="U12" s="568">
        <v>333</v>
      </c>
      <c r="V12" s="420">
        <f t="shared" si="2"/>
        <v>2.7749999999999999</v>
      </c>
      <c r="W12" s="568">
        <v>328</v>
      </c>
      <c r="X12" s="420">
        <f t="shared" si="3"/>
        <v>2.7333333333333334</v>
      </c>
      <c r="Y12" s="568">
        <v>377</v>
      </c>
      <c r="Z12" s="420">
        <f t="shared" si="1"/>
        <v>3.1416666666666666</v>
      </c>
    </row>
    <row r="13" spans="1:26" ht="26.25" customHeight="1" x14ac:dyDescent="0.25">
      <c r="A13" s="604" t="s">
        <v>60</v>
      </c>
      <c r="B13" s="602">
        <v>120</v>
      </c>
      <c r="C13" s="569">
        <v>13</v>
      </c>
      <c r="D13" s="588">
        <f t="shared" si="4"/>
        <v>-0.89166666666666661</v>
      </c>
      <c r="E13" s="569">
        <v>36</v>
      </c>
      <c r="F13" s="588">
        <f t="shared" si="5"/>
        <v>-0.7</v>
      </c>
      <c r="G13" s="569">
        <v>68</v>
      </c>
      <c r="H13" s="588">
        <f t="shared" si="6"/>
        <v>-0.43333333333333335</v>
      </c>
      <c r="I13" s="569">
        <v>40</v>
      </c>
      <c r="J13" s="588">
        <f t="shared" si="7"/>
        <v>-0.66666666666666674</v>
      </c>
      <c r="K13" s="569">
        <v>24</v>
      </c>
      <c r="L13" s="588">
        <f t="shared" si="8"/>
        <v>-0.8</v>
      </c>
      <c r="M13" s="569">
        <v>129</v>
      </c>
      <c r="N13" s="588">
        <f t="shared" si="9"/>
        <v>7.4999999999999956E-2</v>
      </c>
      <c r="O13" s="569">
        <v>27</v>
      </c>
      <c r="P13" s="588">
        <f t="shared" si="10"/>
        <v>-0.77500000000000002</v>
      </c>
      <c r="Q13" s="569">
        <v>71</v>
      </c>
      <c r="R13" s="588">
        <f t="shared" si="11"/>
        <v>-0.40833333333333333</v>
      </c>
      <c r="S13" s="570">
        <v>59</v>
      </c>
      <c r="T13" s="420">
        <f t="shared" si="0"/>
        <v>0.49166666666666664</v>
      </c>
      <c r="U13" s="568">
        <v>47</v>
      </c>
      <c r="V13" s="420">
        <f t="shared" si="2"/>
        <v>0.39166666666666666</v>
      </c>
      <c r="W13" s="568">
        <v>93</v>
      </c>
      <c r="X13" s="420">
        <f t="shared" si="3"/>
        <v>0.77500000000000002</v>
      </c>
      <c r="Y13" s="568">
        <v>142</v>
      </c>
      <c r="Z13" s="420">
        <f t="shared" si="1"/>
        <v>1.1833333333333333</v>
      </c>
    </row>
    <row r="14" spans="1:26" ht="24" x14ac:dyDescent="0.25">
      <c r="A14" s="601" t="s">
        <v>61</v>
      </c>
      <c r="B14" s="602">
        <v>80</v>
      </c>
      <c r="C14" s="569">
        <v>32</v>
      </c>
      <c r="D14" s="588">
        <f t="shared" si="4"/>
        <v>-0.6</v>
      </c>
      <c r="E14" s="569">
        <v>23</v>
      </c>
      <c r="F14" s="588">
        <f>((E14/$B14))-1</f>
        <v>-0.71250000000000002</v>
      </c>
      <c r="G14" s="569">
        <v>76</v>
      </c>
      <c r="H14" s="588">
        <f t="shared" si="6"/>
        <v>-5.0000000000000044E-2</v>
      </c>
      <c r="I14" s="569">
        <v>102</v>
      </c>
      <c r="J14" s="588">
        <f t="shared" si="7"/>
        <v>0.27499999999999991</v>
      </c>
      <c r="K14" s="569">
        <v>84</v>
      </c>
      <c r="L14" s="588">
        <f t="shared" si="8"/>
        <v>5.0000000000000044E-2</v>
      </c>
      <c r="M14" s="569">
        <v>89</v>
      </c>
      <c r="N14" s="588">
        <f t="shared" si="9"/>
        <v>0.11250000000000004</v>
      </c>
      <c r="O14" s="569">
        <v>33</v>
      </c>
      <c r="P14" s="588">
        <f t="shared" si="10"/>
        <v>-0.58750000000000002</v>
      </c>
      <c r="Q14" s="569">
        <v>99</v>
      </c>
      <c r="R14" s="588">
        <f>((Q14/$B14))-1</f>
        <v>0.23750000000000004</v>
      </c>
      <c r="S14" s="574">
        <v>77</v>
      </c>
      <c r="T14" s="577">
        <f t="shared" si="0"/>
        <v>0.96250000000000002</v>
      </c>
      <c r="U14" s="570">
        <v>98</v>
      </c>
      <c r="V14" s="577">
        <f t="shared" si="2"/>
        <v>1.2250000000000001</v>
      </c>
      <c r="W14" s="570">
        <v>75</v>
      </c>
      <c r="X14" s="577">
        <f t="shared" si="3"/>
        <v>0.9375</v>
      </c>
      <c r="Y14" s="570">
        <v>131</v>
      </c>
      <c r="Z14" s="577">
        <f t="shared" si="1"/>
        <v>1.6375</v>
      </c>
    </row>
    <row r="15" spans="1:26" ht="15.75" thickBot="1" x14ac:dyDescent="0.3">
      <c r="A15" s="601" t="s">
        <v>360</v>
      </c>
      <c r="B15" s="602">
        <v>10</v>
      </c>
      <c r="C15" s="569"/>
      <c r="D15" s="588">
        <f t="shared" ref="D15" si="12">C15/$B15</f>
        <v>0</v>
      </c>
      <c r="E15" s="569"/>
      <c r="F15" s="588">
        <f t="shared" ref="F15" si="13">E15/$B15</f>
        <v>0</v>
      </c>
      <c r="G15" s="569"/>
      <c r="H15" s="588">
        <f t="shared" ref="H15" si="14">G15/$B15</f>
        <v>0</v>
      </c>
      <c r="I15" s="605">
        <f t="shared" ref="I15" si="15">SUM(C15,E15,G15)</f>
        <v>0</v>
      </c>
      <c r="J15" s="606">
        <f t="shared" ref="J15" si="16">I15/($B15*3)</f>
        <v>0</v>
      </c>
      <c r="K15" s="569"/>
      <c r="L15" s="588">
        <f t="shared" ref="L15" si="17">K15/$B15</f>
        <v>0</v>
      </c>
      <c r="M15" s="569"/>
      <c r="N15" s="588">
        <f t="shared" ref="N15" si="18">M15/$B15</f>
        <v>0</v>
      </c>
      <c r="O15" s="605"/>
      <c r="P15" s="606">
        <f t="shared" ref="P15" si="19">O15/($B15*3)</f>
        <v>0</v>
      </c>
      <c r="Q15" s="607"/>
      <c r="R15" s="607"/>
      <c r="S15" s="574">
        <v>10</v>
      </c>
      <c r="T15" s="577">
        <f t="shared" si="0"/>
        <v>1</v>
      </c>
      <c r="U15" s="570">
        <v>12</v>
      </c>
      <c r="V15" s="577">
        <f t="shared" si="2"/>
        <v>1.2</v>
      </c>
      <c r="W15" s="570">
        <v>19</v>
      </c>
      <c r="X15" s="577">
        <f t="shared" si="3"/>
        <v>1.9</v>
      </c>
      <c r="Y15" s="570">
        <v>32</v>
      </c>
      <c r="Z15" s="577">
        <f t="shared" si="1"/>
        <v>3.2</v>
      </c>
    </row>
    <row r="16" spans="1:26" ht="15.75" thickBot="1" x14ac:dyDescent="0.3">
      <c r="A16" s="608" t="s">
        <v>7</v>
      </c>
      <c r="B16" s="602">
        <f>SUM(B7:B14)</f>
        <v>686</v>
      </c>
      <c r="C16" s="587">
        <f>SUM(C7:C15)</f>
        <v>1016</v>
      </c>
      <c r="D16" s="588">
        <f t="shared" si="4"/>
        <v>0.48104956268221577</v>
      </c>
      <c r="E16" s="587">
        <f>SUM(E7:E14)</f>
        <v>999</v>
      </c>
      <c r="F16" s="588">
        <f t="shared" si="5"/>
        <v>0.4562682215743441</v>
      </c>
      <c r="G16" s="587">
        <f>SUM(G7:G14)</f>
        <v>1474</v>
      </c>
      <c r="H16" s="588">
        <f t="shared" si="6"/>
        <v>1.1486880466472305</v>
      </c>
      <c r="I16" s="587">
        <f>SUM(I7:I14)</f>
        <v>1162</v>
      </c>
      <c r="J16" s="588">
        <f t="shared" si="7"/>
        <v>0.69387755102040827</v>
      </c>
      <c r="K16" s="587">
        <f>SUM(K7:K14)</f>
        <v>1050</v>
      </c>
      <c r="L16" s="588">
        <f t="shared" si="8"/>
        <v>0.53061224489795911</v>
      </c>
      <c r="M16" s="587">
        <f>SUM(M7:M14)</f>
        <v>1480</v>
      </c>
      <c r="N16" s="588">
        <f t="shared" si="9"/>
        <v>1.1574344023323615</v>
      </c>
      <c r="O16" s="587">
        <f>SUM(O7:O14)</f>
        <v>1111</v>
      </c>
      <c r="P16" s="588">
        <f t="shared" si="10"/>
        <v>0.61953352769679304</v>
      </c>
      <c r="Q16" s="587">
        <f>SUM(Q7:Q14)</f>
        <v>1537</v>
      </c>
      <c r="R16" s="588">
        <f t="shared" si="11"/>
        <v>1.240524781341108</v>
      </c>
      <c r="S16" s="593">
        <f>SUM(S7:S14)</f>
        <v>1274</v>
      </c>
      <c r="T16" s="594">
        <f t="shared" si="0"/>
        <v>1.8571428571428572</v>
      </c>
      <c r="U16" s="593">
        <f>SUM(U7:U14)</f>
        <v>1150</v>
      </c>
      <c r="V16" s="594">
        <f t="shared" si="2"/>
        <v>1.6763848396501457</v>
      </c>
      <c r="W16" s="593">
        <f>SUM(W7:W15)</f>
        <v>1563</v>
      </c>
      <c r="X16" s="594">
        <f t="shared" si="3"/>
        <v>2.2784256559766765</v>
      </c>
      <c r="Y16" s="593">
        <f>SUM(Y7:Y15)</f>
        <v>1396</v>
      </c>
      <c r="Z16" s="594">
        <f t="shared" si="1"/>
        <v>2.0349854227405246</v>
      </c>
    </row>
    <row r="18" spans="1:1" ht="15.75" x14ac:dyDescent="0.25">
      <c r="A18" s="13"/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&amp;LFonte: Sistema WEBSAASS&amp;RPag.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Z13"/>
  <sheetViews>
    <sheetView workbookViewId="0"/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7.5703125" bestFit="1" customWidth="1"/>
    <col min="5" max="5" width="5.42578125" bestFit="1" customWidth="1"/>
    <col min="6" max="6" width="7.5703125" bestFit="1" customWidth="1"/>
    <col min="7" max="7" width="5.42578125" style="28" bestFit="1" customWidth="1"/>
    <col min="8" max="8" width="7.5703125" bestFit="1" customWidth="1"/>
    <col min="9" max="9" width="5.42578125" bestFit="1" customWidth="1"/>
    <col min="10" max="10" width="7.5703125" bestFit="1" customWidth="1"/>
    <col min="11" max="11" width="5.42578125" bestFit="1" customWidth="1"/>
    <col min="12" max="12" width="7.5703125" bestFit="1" customWidth="1"/>
    <col min="13" max="13" width="5.42578125" bestFit="1" customWidth="1"/>
    <col min="14" max="14" width="7.5703125" bestFit="1" customWidth="1"/>
    <col min="15" max="15" width="5.42578125" bestFit="1" customWidth="1"/>
    <col min="16" max="16" width="7.5703125" bestFit="1" customWidth="1"/>
    <col min="17" max="17" width="5.42578125" bestFit="1" customWidth="1"/>
    <col min="18" max="18" width="8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648" t="s">
        <v>363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</row>
    <row r="3" spans="1:26" ht="18" x14ac:dyDescent="0.35">
      <c r="A3" s="648" t="s">
        <v>0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379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239" t="s">
        <v>15</v>
      </c>
      <c r="B6" s="240" t="s">
        <v>16</v>
      </c>
      <c r="C6" s="295" t="s">
        <v>327</v>
      </c>
      <c r="D6" s="296" t="s">
        <v>1</v>
      </c>
      <c r="E6" s="295" t="s">
        <v>328</v>
      </c>
      <c r="F6" s="296" t="s">
        <v>1</v>
      </c>
      <c r="G6" s="295" t="s">
        <v>349</v>
      </c>
      <c r="H6" s="296" t="s">
        <v>1</v>
      </c>
      <c r="I6" s="295" t="s">
        <v>350</v>
      </c>
      <c r="J6" s="296" t="s">
        <v>1</v>
      </c>
      <c r="K6" s="295" t="s">
        <v>351</v>
      </c>
      <c r="L6" s="296" t="s">
        <v>1</v>
      </c>
      <c r="M6" s="295" t="s">
        <v>353</v>
      </c>
      <c r="N6" s="296" t="s">
        <v>1</v>
      </c>
      <c r="O6" s="295" t="s">
        <v>354</v>
      </c>
      <c r="P6" s="296" t="s">
        <v>1</v>
      </c>
      <c r="Q6" s="295" t="s">
        <v>2</v>
      </c>
      <c r="R6" s="296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5.75" thickTop="1" x14ac:dyDescent="0.25">
      <c r="A7" s="241" t="s">
        <v>9</v>
      </c>
      <c r="B7" s="1">
        <v>666</v>
      </c>
      <c r="C7" s="418">
        <v>586</v>
      </c>
      <c r="D7" s="420">
        <f>((C7/$B7))-1</f>
        <v>-0.12012012012012008</v>
      </c>
      <c r="E7" s="418">
        <v>557</v>
      </c>
      <c r="F7" s="420">
        <f>((E7/$B7))-1</f>
        <v>-0.16366366366366369</v>
      </c>
      <c r="G7" s="2">
        <v>645</v>
      </c>
      <c r="H7" s="5">
        <f>((G7/$B7))-1</f>
        <v>-3.1531531531531543E-2</v>
      </c>
      <c r="I7" s="418">
        <v>461</v>
      </c>
      <c r="J7" s="5">
        <f>((I7/$B7))-1</f>
        <v>-0.30780780780780781</v>
      </c>
      <c r="K7" s="418">
        <v>563</v>
      </c>
      <c r="L7" s="5">
        <f>((K7/$B7))-1</f>
        <v>-0.15465465465465467</v>
      </c>
      <c r="M7" s="418">
        <v>651</v>
      </c>
      <c r="N7" s="5">
        <f>((M7/$B7))-1</f>
        <v>-2.2522522522522515E-2</v>
      </c>
      <c r="O7" s="418">
        <v>619</v>
      </c>
      <c r="P7" s="5">
        <f>((O7/$B7))-1</f>
        <v>-7.057057057057059E-2</v>
      </c>
      <c r="Q7" s="418">
        <v>730</v>
      </c>
      <c r="R7" s="5">
        <f>((Q7/$B7))-1</f>
        <v>9.6096096096096151E-2</v>
      </c>
      <c r="S7" s="418">
        <v>720</v>
      </c>
      <c r="T7" s="420">
        <f t="shared" ref="T7:T13" si="0">S7/$B7</f>
        <v>1.0810810810810811</v>
      </c>
      <c r="U7" s="418">
        <v>539</v>
      </c>
      <c r="V7" s="420">
        <f t="shared" ref="V7:V13" si="1">U7/$B7</f>
        <v>0.80930930930930933</v>
      </c>
      <c r="W7" s="418">
        <v>555</v>
      </c>
      <c r="X7" s="420">
        <f t="shared" ref="X7:X13" si="2">W7/$B7</f>
        <v>0.83333333333333337</v>
      </c>
      <c r="Y7" s="418">
        <v>514</v>
      </c>
      <c r="Z7" s="420">
        <f t="shared" ref="Z7:Z13" si="3">Y7/$B7</f>
        <v>0.77177177177177181</v>
      </c>
    </row>
    <row r="8" spans="1:26" x14ac:dyDescent="0.25">
      <c r="A8" s="241" t="s">
        <v>10</v>
      </c>
      <c r="B8" s="242">
        <v>2664</v>
      </c>
      <c r="C8" s="568">
        <v>1906</v>
      </c>
      <c r="D8" s="420">
        <f t="shared" ref="D8:D13" si="4">((C8/$B8))-1</f>
        <v>-0.28453453453453459</v>
      </c>
      <c r="E8" s="568">
        <v>1818</v>
      </c>
      <c r="F8" s="420">
        <f t="shared" ref="F8:F13" si="5">((E8/$B8))-1</f>
        <v>-0.31756756756756754</v>
      </c>
      <c r="G8" s="243">
        <v>2284</v>
      </c>
      <c r="H8" s="5">
        <f t="shared" ref="H8:H13" si="6">((G8/$B8))-1</f>
        <v>-0.14264264264264259</v>
      </c>
      <c r="I8" s="545">
        <v>1594</v>
      </c>
      <c r="J8" s="5">
        <f t="shared" ref="J8:J13" si="7">((I8/$B8))-1</f>
        <v>-0.40165165165165162</v>
      </c>
      <c r="K8" s="545">
        <v>2184</v>
      </c>
      <c r="L8" s="5">
        <f t="shared" ref="L8:L13" si="8">((K8/$B8))-1</f>
        <v>-0.18018018018018023</v>
      </c>
      <c r="M8" s="545">
        <v>2223</v>
      </c>
      <c r="N8" s="5">
        <f t="shared" ref="N8:N13" si="9">((M8/$B8))-1</f>
        <v>-0.16554054054054057</v>
      </c>
      <c r="O8" s="545">
        <v>2064</v>
      </c>
      <c r="P8" s="5">
        <f t="shared" ref="P8:P13" si="10">((O8/$B8))-1</f>
        <v>-0.22522522522522526</v>
      </c>
      <c r="Q8" s="545">
        <v>2542</v>
      </c>
      <c r="R8" s="5">
        <f t="shared" ref="R8:R13" si="11">((Q8/$B8))-1</f>
        <v>-4.5795795795795846E-2</v>
      </c>
      <c r="S8" s="568">
        <v>2468</v>
      </c>
      <c r="T8" s="576">
        <f t="shared" si="0"/>
        <v>0.92642642642642647</v>
      </c>
      <c r="U8" s="568">
        <v>1678</v>
      </c>
      <c r="V8" s="576">
        <f t="shared" si="1"/>
        <v>0.62987987987987992</v>
      </c>
      <c r="W8" s="568">
        <v>1935</v>
      </c>
      <c r="X8" s="576">
        <f t="shared" si="2"/>
        <v>0.72635135135135132</v>
      </c>
      <c r="Y8" s="568">
        <v>1799</v>
      </c>
      <c r="Z8" s="576">
        <f t="shared" si="3"/>
        <v>0.6753003003003003</v>
      </c>
    </row>
    <row r="9" spans="1:26" x14ac:dyDescent="0.25">
      <c r="A9" s="241" t="s">
        <v>11</v>
      </c>
      <c r="B9" s="242">
        <v>1052</v>
      </c>
      <c r="C9" s="568">
        <v>2536</v>
      </c>
      <c r="D9" s="420">
        <f t="shared" si="4"/>
        <v>1.4106463878326996</v>
      </c>
      <c r="E9" s="568">
        <v>2635</v>
      </c>
      <c r="F9" s="420">
        <f t="shared" si="5"/>
        <v>1.5047528517110265</v>
      </c>
      <c r="G9" s="243">
        <v>3434</v>
      </c>
      <c r="H9" s="5">
        <f t="shared" si="6"/>
        <v>2.2642585551330798</v>
      </c>
      <c r="I9" s="545">
        <v>3184</v>
      </c>
      <c r="J9" s="5">
        <f t="shared" si="7"/>
        <v>2.0266159695817492</v>
      </c>
      <c r="K9" s="545">
        <v>3161</v>
      </c>
      <c r="L9" s="5">
        <f t="shared" si="8"/>
        <v>2.0047528517110265</v>
      </c>
      <c r="M9" s="545">
        <v>3220</v>
      </c>
      <c r="N9" s="5">
        <f t="shared" si="9"/>
        <v>2.0608365019011408</v>
      </c>
      <c r="O9" s="545">
        <v>3182</v>
      </c>
      <c r="P9" s="5">
        <f t="shared" si="10"/>
        <v>2.0247148288973382</v>
      </c>
      <c r="Q9" s="545">
        <v>3208</v>
      </c>
      <c r="R9" s="5">
        <f t="shared" si="11"/>
        <v>2.0494296577946769</v>
      </c>
      <c r="S9" s="568">
        <v>2904</v>
      </c>
      <c r="T9" s="576">
        <f t="shared" si="0"/>
        <v>2.7604562737642584</v>
      </c>
      <c r="U9" s="568">
        <v>2833</v>
      </c>
      <c r="V9" s="576">
        <f t="shared" si="1"/>
        <v>2.6929657794676807</v>
      </c>
      <c r="W9" s="568">
        <v>2457</v>
      </c>
      <c r="X9" s="576">
        <f t="shared" si="2"/>
        <v>2.335551330798479</v>
      </c>
      <c r="Y9" s="568">
        <v>2615</v>
      </c>
      <c r="Z9" s="576">
        <f t="shared" si="3"/>
        <v>2.4857414448669202</v>
      </c>
    </row>
    <row r="10" spans="1:26" x14ac:dyDescent="0.25">
      <c r="A10" s="241" t="s">
        <v>12</v>
      </c>
      <c r="B10" s="242">
        <v>526</v>
      </c>
      <c r="C10" s="568">
        <v>280</v>
      </c>
      <c r="D10" s="420">
        <f t="shared" si="4"/>
        <v>-0.46768060836501901</v>
      </c>
      <c r="E10" s="568">
        <v>784</v>
      </c>
      <c r="F10" s="420">
        <f t="shared" si="5"/>
        <v>0.49049429657794685</v>
      </c>
      <c r="G10" s="243">
        <v>1156</v>
      </c>
      <c r="H10" s="5">
        <f t="shared" si="6"/>
        <v>1.1977186311787071</v>
      </c>
      <c r="I10" s="545">
        <v>1117</v>
      </c>
      <c r="J10" s="5">
        <f t="shared" si="7"/>
        <v>1.123574144486692</v>
      </c>
      <c r="K10" s="545">
        <v>908</v>
      </c>
      <c r="L10" s="5">
        <f t="shared" si="8"/>
        <v>0.72623574144486702</v>
      </c>
      <c r="M10" s="545">
        <v>1262</v>
      </c>
      <c r="N10" s="5">
        <f t="shared" si="9"/>
        <v>1.3992395437262357</v>
      </c>
      <c r="O10" s="545">
        <v>1251</v>
      </c>
      <c r="P10" s="5">
        <f t="shared" si="10"/>
        <v>1.3783269961977185</v>
      </c>
      <c r="Q10" s="545">
        <v>1417</v>
      </c>
      <c r="R10" s="5">
        <f t="shared" si="11"/>
        <v>1.6939163498098861</v>
      </c>
      <c r="S10" s="568">
        <v>1533</v>
      </c>
      <c r="T10" s="576">
        <f t="shared" si="0"/>
        <v>2.914448669201521</v>
      </c>
      <c r="U10" s="568">
        <v>1455</v>
      </c>
      <c r="V10" s="576">
        <f t="shared" si="1"/>
        <v>2.7661596958174903</v>
      </c>
      <c r="W10" s="568">
        <v>1453</v>
      </c>
      <c r="X10" s="576">
        <f t="shared" si="2"/>
        <v>2.7623574144486693</v>
      </c>
      <c r="Y10" s="568">
        <v>1217</v>
      </c>
      <c r="Z10" s="576">
        <f t="shared" si="3"/>
        <v>2.3136882129277567</v>
      </c>
    </row>
    <row r="11" spans="1:26" x14ac:dyDescent="0.25">
      <c r="A11" s="244" t="s">
        <v>13</v>
      </c>
      <c r="B11" s="245">
        <v>250</v>
      </c>
      <c r="C11" s="570">
        <v>424</v>
      </c>
      <c r="D11" s="560">
        <f t="shared" si="4"/>
        <v>0.69599999999999995</v>
      </c>
      <c r="E11" s="568">
        <v>410</v>
      </c>
      <c r="F11" s="560">
        <f t="shared" si="5"/>
        <v>0.6399999999999999</v>
      </c>
      <c r="G11" s="246">
        <v>466</v>
      </c>
      <c r="H11" s="62">
        <f t="shared" si="6"/>
        <v>0.8640000000000001</v>
      </c>
      <c r="I11" s="545">
        <v>388</v>
      </c>
      <c r="J11" s="62">
        <f t="shared" si="7"/>
        <v>0.55200000000000005</v>
      </c>
      <c r="K11" s="545">
        <v>432</v>
      </c>
      <c r="L11" s="62">
        <f t="shared" si="8"/>
        <v>0.72799999999999998</v>
      </c>
      <c r="M11" s="545">
        <v>473</v>
      </c>
      <c r="N11" s="62">
        <f t="shared" si="9"/>
        <v>0.8919999999999999</v>
      </c>
      <c r="O11" s="545">
        <v>430</v>
      </c>
      <c r="P11" s="302">
        <f t="shared" si="10"/>
        <v>0.72</v>
      </c>
      <c r="Q11" s="545">
        <v>172</v>
      </c>
      <c r="R11" s="302">
        <f t="shared" si="11"/>
        <v>-0.31200000000000006</v>
      </c>
      <c r="S11" s="570">
        <v>322</v>
      </c>
      <c r="T11" s="576">
        <f t="shared" si="0"/>
        <v>1.288</v>
      </c>
      <c r="U11" s="568">
        <v>412</v>
      </c>
      <c r="V11" s="576">
        <f t="shared" si="1"/>
        <v>1.6479999999999999</v>
      </c>
      <c r="W11" s="568">
        <v>434</v>
      </c>
      <c r="X11" s="576">
        <f t="shared" si="2"/>
        <v>1.736</v>
      </c>
      <c r="Y11" s="568">
        <v>408</v>
      </c>
      <c r="Z11" s="576">
        <f t="shared" si="3"/>
        <v>1.6319999999999999</v>
      </c>
    </row>
    <row r="12" spans="1:26" ht="15.75" thickBot="1" x14ac:dyDescent="0.3">
      <c r="A12" s="247" t="s">
        <v>14</v>
      </c>
      <c r="B12" s="248">
        <v>789</v>
      </c>
      <c r="C12" s="574">
        <v>259</v>
      </c>
      <c r="D12" s="575">
        <f t="shared" si="4"/>
        <v>-0.67173637515842843</v>
      </c>
      <c r="E12" s="578">
        <v>514</v>
      </c>
      <c r="F12" s="575">
        <f t="shared" si="5"/>
        <v>-0.34854245880861845</v>
      </c>
      <c r="G12" s="249">
        <v>510</v>
      </c>
      <c r="H12" s="250">
        <f t="shared" si="6"/>
        <v>-0.35361216730038025</v>
      </c>
      <c r="I12" s="546">
        <v>552</v>
      </c>
      <c r="J12" s="250">
        <f t="shared" si="7"/>
        <v>-0.30038022813688214</v>
      </c>
      <c r="K12" s="546">
        <v>631</v>
      </c>
      <c r="L12" s="250">
        <f t="shared" si="8"/>
        <v>-0.2002534854245881</v>
      </c>
      <c r="M12" s="546">
        <v>630</v>
      </c>
      <c r="N12" s="250">
        <f t="shared" si="9"/>
        <v>-0.20152091254752846</v>
      </c>
      <c r="O12" s="546">
        <v>633</v>
      </c>
      <c r="P12" s="250">
        <f t="shared" si="10"/>
        <v>-0.19771863117870725</v>
      </c>
      <c r="Q12" s="546">
        <v>666</v>
      </c>
      <c r="R12" s="250">
        <f t="shared" si="11"/>
        <v>-0.155893536121673</v>
      </c>
      <c r="S12" s="574">
        <v>621</v>
      </c>
      <c r="T12" s="599">
        <f t="shared" si="0"/>
        <v>0.78707224334600756</v>
      </c>
      <c r="U12" s="578">
        <v>558</v>
      </c>
      <c r="V12" s="599">
        <f t="shared" si="1"/>
        <v>0.70722433460076051</v>
      </c>
      <c r="W12" s="578">
        <v>466</v>
      </c>
      <c r="X12" s="599">
        <f t="shared" si="2"/>
        <v>0.59062103929024079</v>
      </c>
      <c r="Y12" s="578">
        <v>490</v>
      </c>
      <c r="Z12" s="577">
        <f t="shared" si="3"/>
        <v>0.62103929024081117</v>
      </c>
    </row>
    <row r="13" spans="1:26" ht="15.75" thickBot="1" x14ac:dyDescent="0.3">
      <c r="A13" s="68" t="s">
        <v>7</v>
      </c>
      <c r="B13" s="72">
        <f>SUM(B7:B12)</f>
        <v>5947</v>
      </c>
      <c r="C13" s="76">
        <f>SUM(C7:C12)</f>
        <v>5991</v>
      </c>
      <c r="D13" s="90">
        <f t="shared" si="4"/>
        <v>7.3986884143264486E-3</v>
      </c>
      <c r="E13" s="76">
        <f>SUM(E7:E12)</f>
        <v>6718</v>
      </c>
      <c r="F13" s="90">
        <f t="shared" si="5"/>
        <v>0.12964519926013107</v>
      </c>
      <c r="G13" s="76">
        <f>SUM(G7:G12)</f>
        <v>8495</v>
      </c>
      <c r="H13" s="90">
        <f t="shared" si="6"/>
        <v>0.42845131999327402</v>
      </c>
      <c r="I13" s="76">
        <f>SUM(I7:I12)</f>
        <v>7296</v>
      </c>
      <c r="J13" s="90">
        <f t="shared" si="7"/>
        <v>0.22683706070287535</v>
      </c>
      <c r="K13" s="76">
        <f>SUM(K7:K12)</f>
        <v>7879</v>
      </c>
      <c r="L13" s="90">
        <f t="shared" si="8"/>
        <v>0.32486968219270218</v>
      </c>
      <c r="M13" s="76">
        <f>SUM(M7:M12)</f>
        <v>8459</v>
      </c>
      <c r="N13" s="90">
        <f t="shared" si="9"/>
        <v>0.42239784765427957</v>
      </c>
      <c r="O13" s="76">
        <f>SUM(O7:O12)</f>
        <v>8179</v>
      </c>
      <c r="P13" s="90">
        <f t="shared" si="10"/>
        <v>0.37531528501765599</v>
      </c>
      <c r="Q13" s="76">
        <f>SUM(Q7:Q12)</f>
        <v>8735</v>
      </c>
      <c r="R13" s="90">
        <f t="shared" si="11"/>
        <v>0.46880780225323693</v>
      </c>
      <c r="S13" s="76">
        <f>SUM(S7:S12)</f>
        <v>8568</v>
      </c>
      <c r="T13" s="561">
        <f t="shared" si="0"/>
        <v>1.4407264166806792</v>
      </c>
      <c r="U13" s="573">
        <f>SUM(U7:U12)</f>
        <v>7475</v>
      </c>
      <c r="V13" s="561">
        <f t="shared" si="1"/>
        <v>1.256936270388431</v>
      </c>
      <c r="W13" s="573">
        <f>SUM(W7:W12)</f>
        <v>7300</v>
      </c>
      <c r="X13" s="561">
        <f t="shared" si="2"/>
        <v>1.2275096687405413</v>
      </c>
      <c r="Y13" s="593">
        <f>SUM(Y7:Y12)</f>
        <v>7043</v>
      </c>
      <c r="Z13" s="594">
        <f t="shared" si="3"/>
        <v>1.1842946023204977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&amp;LFonte: Sistema WEBSAASS&amp;RPag.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Z15"/>
  <sheetViews>
    <sheetView workbookViewId="0"/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7.140625" bestFit="1" customWidth="1"/>
    <col min="5" max="5" width="5.42578125" bestFit="1" customWidth="1"/>
    <col min="6" max="6" width="7.140625" bestFit="1" customWidth="1"/>
    <col min="7" max="7" width="5.42578125" bestFit="1" customWidth="1"/>
    <col min="8" max="8" width="7.140625" bestFit="1" customWidth="1"/>
    <col min="9" max="9" width="5.42578125" bestFit="1" customWidth="1"/>
    <col min="10" max="10" width="7.140625" bestFit="1" customWidth="1"/>
    <col min="11" max="11" width="5.42578125" bestFit="1" customWidth="1"/>
    <col min="12" max="12" width="7.140625" bestFit="1" customWidth="1"/>
    <col min="13" max="13" width="5.42578125" bestFit="1" customWidth="1"/>
    <col min="14" max="14" width="7.140625" bestFit="1" customWidth="1"/>
    <col min="15" max="15" width="5.42578125" bestFit="1" customWidth="1"/>
    <col min="16" max="16" width="7.140625" bestFit="1" customWidth="1"/>
    <col min="17" max="17" width="5.42578125" bestFit="1" customWidth="1"/>
    <col min="18" max="18" width="7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25">
      <c r="A2" s="651" t="s">
        <v>363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1"/>
    </row>
    <row r="3" spans="1:26" ht="18" x14ac:dyDescent="0.25">
      <c r="A3" s="651" t="s">
        <v>331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1"/>
    </row>
    <row r="5" spans="1:26" ht="15.75" x14ac:dyDescent="0.25">
      <c r="A5" s="649" t="s">
        <v>378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237" t="s">
        <v>15</v>
      </c>
      <c r="B6" s="238" t="s">
        <v>16</v>
      </c>
      <c r="C6" s="579" t="s">
        <v>327</v>
      </c>
      <c r="D6" s="580" t="s">
        <v>1</v>
      </c>
      <c r="E6" s="579" t="s">
        <v>328</v>
      </c>
      <c r="F6" s="580" t="s">
        <v>1</v>
      </c>
      <c r="G6" s="295" t="s">
        <v>349</v>
      </c>
      <c r="H6" s="296" t="s">
        <v>1</v>
      </c>
      <c r="I6" s="295" t="s">
        <v>350</v>
      </c>
      <c r="J6" s="296" t="s">
        <v>1</v>
      </c>
      <c r="K6" s="295" t="s">
        <v>351</v>
      </c>
      <c r="L6" s="296" t="s">
        <v>1</v>
      </c>
      <c r="M6" s="295" t="s">
        <v>353</v>
      </c>
      <c r="N6" s="296" t="s">
        <v>1</v>
      </c>
      <c r="O6" s="295" t="s">
        <v>354</v>
      </c>
      <c r="P6" s="296" t="s">
        <v>1</v>
      </c>
      <c r="Q6" s="295" t="s">
        <v>2</v>
      </c>
      <c r="R6" s="296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5.75" thickTop="1" x14ac:dyDescent="0.25">
      <c r="A7" s="609" t="s">
        <v>9</v>
      </c>
      <c r="B7" s="43">
        <v>999</v>
      </c>
      <c r="C7" s="558">
        <v>929</v>
      </c>
      <c r="D7" s="560">
        <f>((C7/$B7))-1</f>
        <v>-7.0070070070070045E-2</v>
      </c>
      <c r="E7" s="558">
        <v>727</v>
      </c>
      <c r="F7" s="560">
        <f>((E7/$B7))-1</f>
        <v>-0.27227227227227224</v>
      </c>
      <c r="G7" s="558">
        <v>860</v>
      </c>
      <c r="H7" s="560">
        <f>((G7/$B7))-1</f>
        <v>-0.13913913913913911</v>
      </c>
      <c r="I7" s="558">
        <v>675</v>
      </c>
      <c r="J7" s="560">
        <f>((I7/$B7))-1</f>
        <v>-0.32432432432432434</v>
      </c>
      <c r="K7" s="558">
        <v>721</v>
      </c>
      <c r="L7" s="560">
        <f>((K7/$B7))-1</f>
        <v>-0.27827827827827822</v>
      </c>
      <c r="M7" s="558">
        <v>877</v>
      </c>
      <c r="N7" s="560">
        <f>((M7/$B7))-1</f>
        <v>-0.12212212212212215</v>
      </c>
      <c r="O7" s="558">
        <v>1138</v>
      </c>
      <c r="P7" s="560">
        <f>((O7/$B7))-1</f>
        <v>0.13913913913913922</v>
      </c>
      <c r="Q7" s="558">
        <v>1046</v>
      </c>
      <c r="R7" s="560">
        <f>((Q7/$B7))-1</f>
        <v>4.7047047047046986E-2</v>
      </c>
      <c r="S7" s="418">
        <v>933</v>
      </c>
      <c r="T7" s="420">
        <f t="shared" ref="T7:T15" si="0">S7/$B7</f>
        <v>0.93393393393393398</v>
      </c>
      <c r="U7" s="418">
        <v>812</v>
      </c>
      <c r="V7" s="420">
        <f t="shared" ref="V7:V15" si="1">U7/$B7</f>
        <v>0.81281281281281281</v>
      </c>
      <c r="W7" s="418">
        <v>851</v>
      </c>
      <c r="X7" s="420">
        <f t="shared" ref="X7:X15" si="2">W7/$B7</f>
        <v>0.85185185185185186</v>
      </c>
      <c r="Y7" s="418">
        <v>1092</v>
      </c>
      <c r="Z7" s="420">
        <f t="shared" ref="Z7:Z15" si="3">Y7/$B7</f>
        <v>1.0930930930930931</v>
      </c>
    </row>
    <row r="8" spans="1:26" x14ac:dyDescent="0.25">
      <c r="A8" s="610" t="s">
        <v>10</v>
      </c>
      <c r="B8" s="602">
        <v>3996</v>
      </c>
      <c r="C8" s="569">
        <v>3171</v>
      </c>
      <c r="D8" s="588">
        <f t="shared" ref="D8:D15" si="4">((C8/$B8))-1</f>
        <v>-0.20645645645645649</v>
      </c>
      <c r="E8" s="569">
        <v>3222</v>
      </c>
      <c r="F8" s="588">
        <f t="shared" ref="F8:F15" si="5">((E8/$B8))-1</f>
        <v>-0.19369369369369371</v>
      </c>
      <c r="G8" s="569">
        <v>4004</v>
      </c>
      <c r="H8" s="588">
        <f t="shared" ref="H8:H15" si="6">((G8/$B8))-1</f>
        <v>2.0020020020019569E-3</v>
      </c>
      <c r="I8" s="569">
        <v>2760</v>
      </c>
      <c r="J8" s="588">
        <f t="shared" ref="J8:J15" si="7">((I8/$B8))-1</f>
        <v>-0.30930930930930933</v>
      </c>
      <c r="K8" s="569">
        <v>3022</v>
      </c>
      <c r="L8" s="588">
        <f t="shared" ref="L8:L15" si="8">((K8/$B8))-1</f>
        <v>-0.24374374374374375</v>
      </c>
      <c r="M8" s="569">
        <v>3716</v>
      </c>
      <c r="N8" s="588">
        <f t="shared" ref="N8:N15" si="9">((M8/$B8))-1</f>
        <v>-7.0070070070070045E-2</v>
      </c>
      <c r="O8" s="569">
        <v>4626</v>
      </c>
      <c r="P8" s="588">
        <f t="shared" ref="P8:P15" si="10">((O8/$B8))-1</f>
        <v>0.1576576576576576</v>
      </c>
      <c r="Q8" s="569">
        <v>4757</v>
      </c>
      <c r="R8" s="588">
        <f t="shared" ref="R8:R15" si="11">((Q8/$B8))-1</f>
        <v>0.19044044044044051</v>
      </c>
      <c r="S8" s="568">
        <v>3655</v>
      </c>
      <c r="T8" s="576">
        <f t="shared" si="0"/>
        <v>0.91466466466466467</v>
      </c>
      <c r="U8" s="568">
        <v>3560</v>
      </c>
      <c r="V8" s="576">
        <f t="shared" si="1"/>
        <v>0.89089089089089091</v>
      </c>
      <c r="W8" s="568">
        <v>3860</v>
      </c>
      <c r="X8" s="576">
        <f t="shared" si="2"/>
        <v>0.96596596596596596</v>
      </c>
      <c r="Y8" s="568">
        <v>3904</v>
      </c>
      <c r="Z8" s="576">
        <f t="shared" si="3"/>
        <v>0.97697697697697694</v>
      </c>
    </row>
    <row r="9" spans="1:26" x14ac:dyDescent="0.25">
      <c r="A9" s="610" t="s">
        <v>11</v>
      </c>
      <c r="B9" s="602">
        <v>789</v>
      </c>
      <c r="C9" s="569">
        <v>370</v>
      </c>
      <c r="D9" s="588">
        <f t="shared" si="4"/>
        <v>-0.53105196451204062</v>
      </c>
      <c r="E9" s="569">
        <v>702</v>
      </c>
      <c r="F9" s="588">
        <f t="shared" si="5"/>
        <v>-0.11026615969581754</v>
      </c>
      <c r="G9" s="569">
        <v>893</v>
      </c>
      <c r="H9" s="588">
        <f t="shared" si="6"/>
        <v>0.13181242078580491</v>
      </c>
      <c r="I9" s="569">
        <v>846</v>
      </c>
      <c r="J9" s="588">
        <f t="shared" si="7"/>
        <v>7.2243346007604625E-2</v>
      </c>
      <c r="K9" s="569">
        <v>824</v>
      </c>
      <c r="L9" s="588">
        <f t="shared" si="8"/>
        <v>4.4359949302914981E-2</v>
      </c>
      <c r="M9" s="569">
        <v>798</v>
      </c>
      <c r="N9" s="588">
        <f t="shared" si="9"/>
        <v>1.1406844106463865E-2</v>
      </c>
      <c r="O9" s="569">
        <v>716</v>
      </c>
      <c r="P9" s="588">
        <f t="shared" si="10"/>
        <v>-9.2522179974651508E-2</v>
      </c>
      <c r="Q9" s="569">
        <v>862</v>
      </c>
      <c r="R9" s="588">
        <f t="shared" si="11"/>
        <v>9.2522179974651397E-2</v>
      </c>
      <c r="S9" s="568">
        <v>858</v>
      </c>
      <c r="T9" s="576">
        <f t="shared" si="0"/>
        <v>1.0874524714828897</v>
      </c>
      <c r="U9" s="568">
        <v>632</v>
      </c>
      <c r="V9" s="576">
        <f t="shared" si="1"/>
        <v>0.80101394169835238</v>
      </c>
      <c r="W9" s="568">
        <v>770</v>
      </c>
      <c r="X9" s="576">
        <f t="shared" si="2"/>
        <v>0.97591888466413179</v>
      </c>
      <c r="Y9" s="568">
        <v>712</v>
      </c>
      <c r="Z9" s="576">
        <f t="shared" si="3"/>
        <v>0.9024081115335868</v>
      </c>
    </row>
    <row r="10" spans="1:26" x14ac:dyDescent="0.25">
      <c r="A10" s="610" t="s">
        <v>43</v>
      </c>
      <c r="B10" s="602">
        <v>526</v>
      </c>
      <c r="C10" s="569">
        <v>255</v>
      </c>
      <c r="D10" s="588">
        <f t="shared" si="4"/>
        <v>-0.51520912547528519</v>
      </c>
      <c r="E10" s="569">
        <v>462</v>
      </c>
      <c r="F10" s="588">
        <f t="shared" si="5"/>
        <v>-0.12167300380228141</v>
      </c>
      <c r="G10" s="569">
        <v>608</v>
      </c>
      <c r="H10" s="588">
        <f t="shared" si="6"/>
        <v>0.15589353612167289</v>
      </c>
      <c r="I10" s="569">
        <v>533</v>
      </c>
      <c r="J10" s="588">
        <f t="shared" si="7"/>
        <v>1.3307984790874583E-2</v>
      </c>
      <c r="K10" s="569">
        <v>462</v>
      </c>
      <c r="L10" s="588">
        <f t="shared" si="8"/>
        <v>-0.12167300380228141</v>
      </c>
      <c r="M10" s="569">
        <v>510</v>
      </c>
      <c r="N10" s="588">
        <f t="shared" si="9"/>
        <v>-3.041825095057038E-2</v>
      </c>
      <c r="O10" s="569">
        <v>455</v>
      </c>
      <c r="P10" s="588">
        <f t="shared" si="10"/>
        <v>-0.13498098859315588</v>
      </c>
      <c r="Q10" s="569">
        <v>559</v>
      </c>
      <c r="R10" s="588">
        <f t="shared" si="11"/>
        <v>6.2737642585551257E-2</v>
      </c>
      <c r="S10" s="568">
        <v>469</v>
      </c>
      <c r="T10" s="576">
        <f t="shared" si="0"/>
        <v>0.89163498098859317</v>
      </c>
      <c r="U10" s="568">
        <v>430</v>
      </c>
      <c r="V10" s="576">
        <f t="shared" si="1"/>
        <v>0.81749049429657794</v>
      </c>
      <c r="W10" s="568">
        <v>419</v>
      </c>
      <c r="X10" s="576">
        <f t="shared" si="2"/>
        <v>0.79657794676806082</v>
      </c>
      <c r="Y10" s="568">
        <v>257</v>
      </c>
      <c r="Z10" s="576">
        <f t="shared" si="3"/>
        <v>0.48859315589353614</v>
      </c>
    </row>
    <row r="11" spans="1:26" x14ac:dyDescent="0.25">
      <c r="A11" s="610" t="s">
        <v>41</v>
      </c>
      <c r="B11" s="602">
        <v>140</v>
      </c>
      <c r="C11" s="569">
        <v>111</v>
      </c>
      <c r="D11" s="588">
        <f t="shared" si="4"/>
        <v>-0.20714285714285718</v>
      </c>
      <c r="E11" s="569">
        <v>91</v>
      </c>
      <c r="F11" s="588">
        <f t="shared" si="5"/>
        <v>-0.35</v>
      </c>
      <c r="G11" s="569">
        <v>126</v>
      </c>
      <c r="H11" s="588">
        <f t="shared" si="6"/>
        <v>-9.9999999999999978E-2</v>
      </c>
      <c r="I11" s="569">
        <v>93</v>
      </c>
      <c r="J11" s="588">
        <f t="shared" si="7"/>
        <v>-0.33571428571428574</v>
      </c>
      <c r="K11" s="569">
        <v>95</v>
      </c>
      <c r="L11" s="588">
        <f t="shared" si="8"/>
        <v>-0.3214285714285714</v>
      </c>
      <c r="M11" s="569">
        <v>143</v>
      </c>
      <c r="N11" s="588">
        <f t="shared" si="9"/>
        <v>2.1428571428571352E-2</v>
      </c>
      <c r="O11" s="569">
        <v>120</v>
      </c>
      <c r="P11" s="588">
        <f t="shared" si="10"/>
        <v>-0.1428571428571429</v>
      </c>
      <c r="Q11" s="569">
        <v>122</v>
      </c>
      <c r="R11" s="588">
        <f t="shared" si="11"/>
        <v>-0.12857142857142856</v>
      </c>
      <c r="S11" s="570">
        <v>131</v>
      </c>
      <c r="T11" s="576">
        <f t="shared" si="0"/>
        <v>0.93571428571428572</v>
      </c>
      <c r="U11" s="568">
        <v>121</v>
      </c>
      <c r="V11" s="576">
        <f t="shared" si="1"/>
        <v>0.86428571428571432</v>
      </c>
      <c r="W11" s="568">
        <v>142</v>
      </c>
      <c r="X11" s="576">
        <f t="shared" si="2"/>
        <v>1.0142857142857142</v>
      </c>
      <c r="Y11" s="568">
        <v>119</v>
      </c>
      <c r="Z11" s="576">
        <f t="shared" si="3"/>
        <v>0.85</v>
      </c>
    </row>
    <row r="12" spans="1:26" x14ac:dyDescent="0.25">
      <c r="A12" s="610" t="s">
        <v>14</v>
      </c>
      <c r="B12" s="602">
        <v>526</v>
      </c>
      <c r="C12" s="569">
        <v>474</v>
      </c>
      <c r="D12" s="588">
        <f t="shared" si="4"/>
        <v>-9.8859315589353569E-2</v>
      </c>
      <c r="E12" s="569">
        <v>468</v>
      </c>
      <c r="F12" s="588">
        <f t="shared" si="5"/>
        <v>-0.11026615969581754</v>
      </c>
      <c r="G12" s="569">
        <v>515</v>
      </c>
      <c r="H12" s="588">
        <f t="shared" si="6"/>
        <v>-2.0912547528517123E-2</v>
      </c>
      <c r="I12" s="569">
        <v>475</v>
      </c>
      <c r="J12" s="588">
        <f t="shared" si="7"/>
        <v>-9.6958174904942962E-2</v>
      </c>
      <c r="K12" s="569">
        <v>515</v>
      </c>
      <c r="L12" s="588">
        <f t="shared" si="8"/>
        <v>-2.0912547528517123E-2</v>
      </c>
      <c r="M12" s="569">
        <v>278</v>
      </c>
      <c r="N12" s="588">
        <f t="shared" si="9"/>
        <v>-0.47148288973384034</v>
      </c>
      <c r="O12" s="569">
        <v>443</v>
      </c>
      <c r="P12" s="588">
        <f t="shared" si="10"/>
        <v>-0.15779467680608361</v>
      </c>
      <c r="Q12" s="569">
        <v>471</v>
      </c>
      <c r="R12" s="588">
        <f t="shared" si="11"/>
        <v>-0.1045627376425855</v>
      </c>
      <c r="S12" s="574">
        <v>459</v>
      </c>
      <c r="T12" s="576">
        <f t="shared" si="0"/>
        <v>0.87262357414448666</v>
      </c>
      <c r="U12" s="568">
        <v>433</v>
      </c>
      <c r="V12" s="576">
        <f t="shared" si="1"/>
        <v>0.82319391634980987</v>
      </c>
      <c r="W12" s="568">
        <v>456</v>
      </c>
      <c r="X12" s="576">
        <f t="shared" si="2"/>
        <v>0.86692015209125473</v>
      </c>
      <c r="Y12" s="568">
        <v>475</v>
      </c>
      <c r="Z12" s="576">
        <f t="shared" si="3"/>
        <v>0.90304182509505704</v>
      </c>
    </row>
    <row r="13" spans="1:26" x14ac:dyDescent="0.25">
      <c r="A13" s="610" t="s">
        <v>361</v>
      </c>
      <c r="B13" s="602">
        <v>132</v>
      </c>
      <c r="C13" s="630"/>
      <c r="D13" s="631"/>
      <c r="E13" s="630"/>
      <c r="F13" s="631"/>
      <c r="G13" s="630"/>
      <c r="H13" s="631"/>
      <c r="I13" s="632"/>
      <c r="J13" s="633"/>
      <c r="K13" s="630"/>
      <c r="L13" s="631"/>
      <c r="M13" s="630"/>
      <c r="N13" s="631"/>
      <c r="O13" s="632"/>
      <c r="P13" s="633"/>
      <c r="Q13" s="634"/>
      <c r="R13" s="634"/>
      <c r="S13" s="574">
        <v>96</v>
      </c>
      <c r="T13" s="576">
        <f t="shared" si="0"/>
        <v>0.72727272727272729</v>
      </c>
      <c r="U13" s="568">
        <v>142</v>
      </c>
      <c r="V13" s="576">
        <f t="shared" si="1"/>
        <v>1.0757575757575757</v>
      </c>
      <c r="W13" s="568">
        <v>137</v>
      </c>
      <c r="X13" s="576">
        <f t="shared" si="2"/>
        <v>1.0378787878787878</v>
      </c>
      <c r="Y13" s="568">
        <v>131</v>
      </c>
      <c r="Z13" s="576">
        <f t="shared" si="3"/>
        <v>0.99242424242424243</v>
      </c>
    </row>
    <row r="14" spans="1:26" ht="15.75" thickBot="1" x14ac:dyDescent="0.3">
      <c r="A14" s="610" t="s">
        <v>362</v>
      </c>
      <c r="B14" s="602">
        <v>220</v>
      </c>
      <c r="C14" s="630"/>
      <c r="D14" s="631"/>
      <c r="E14" s="630"/>
      <c r="F14" s="631"/>
      <c r="G14" s="630"/>
      <c r="H14" s="631"/>
      <c r="I14" s="632"/>
      <c r="J14" s="633"/>
      <c r="K14" s="630"/>
      <c r="L14" s="631"/>
      <c r="M14" s="630"/>
      <c r="N14" s="631"/>
      <c r="O14" s="632"/>
      <c r="P14" s="633"/>
      <c r="Q14" s="634"/>
      <c r="R14" s="634"/>
      <c r="S14" s="574">
        <v>192</v>
      </c>
      <c r="T14" s="577">
        <f t="shared" si="0"/>
        <v>0.87272727272727268</v>
      </c>
      <c r="U14" s="570">
        <v>152</v>
      </c>
      <c r="V14" s="577">
        <f t="shared" si="1"/>
        <v>0.69090909090909092</v>
      </c>
      <c r="W14" s="570">
        <v>156</v>
      </c>
      <c r="X14" s="577">
        <f t="shared" si="2"/>
        <v>0.70909090909090911</v>
      </c>
      <c r="Y14" s="570">
        <v>196</v>
      </c>
      <c r="Z14" s="577">
        <f t="shared" si="3"/>
        <v>0.89090909090909087</v>
      </c>
    </row>
    <row r="15" spans="1:26" ht="15.75" thickBot="1" x14ac:dyDescent="0.3">
      <c r="A15" s="608" t="s">
        <v>7</v>
      </c>
      <c r="B15" s="602">
        <f>SUM(B7:B12)</f>
        <v>6976</v>
      </c>
      <c r="C15" s="587">
        <f>SUM(C7:C12)</f>
        <v>5310</v>
      </c>
      <c r="D15" s="588">
        <f t="shared" si="4"/>
        <v>-0.23881880733944949</v>
      </c>
      <c r="E15" s="587">
        <f>SUM(E7:E12)</f>
        <v>5672</v>
      </c>
      <c r="F15" s="588">
        <f t="shared" si="5"/>
        <v>-0.18692660550458717</v>
      </c>
      <c r="G15" s="587">
        <f>SUM(G7:G12)</f>
        <v>7006</v>
      </c>
      <c r="H15" s="588">
        <f t="shared" si="6"/>
        <v>4.3004587155963669E-3</v>
      </c>
      <c r="I15" s="587">
        <f>SUM(I7:I12)</f>
        <v>5382</v>
      </c>
      <c r="J15" s="588">
        <f t="shared" si="7"/>
        <v>-0.22849770642201839</v>
      </c>
      <c r="K15" s="587">
        <f>SUM(K7:K12)</f>
        <v>5639</v>
      </c>
      <c r="L15" s="588">
        <f t="shared" si="8"/>
        <v>-0.19165711009174313</v>
      </c>
      <c r="M15" s="587">
        <f>SUM(M7:M12)</f>
        <v>6322</v>
      </c>
      <c r="N15" s="588">
        <f t="shared" si="9"/>
        <v>-9.375E-2</v>
      </c>
      <c r="O15" s="587">
        <f>SUM(O7:O12)</f>
        <v>7498</v>
      </c>
      <c r="P15" s="588">
        <f t="shared" si="10"/>
        <v>7.4827981651376163E-2</v>
      </c>
      <c r="Q15" s="569">
        <v>7817</v>
      </c>
      <c r="R15" s="588">
        <f t="shared" si="11"/>
        <v>0.12055619266055051</v>
      </c>
      <c r="S15" s="593">
        <f>SUM(S7:S14)</f>
        <v>6793</v>
      </c>
      <c r="T15" s="594">
        <f t="shared" si="0"/>
        <v>0.97376720183486243</v>
      </c>
      <c r="U15" s="593">
        <f>SUM(U7:U14)</f>
        <v>6282</v>
      </c>
      <c r="V15" s="594">
        <f t="shared" si="1"/>
        <v>0.90051605504587151</v>
      </c>
      <c r="W15" s="593">
        <f>SUM(W7:W14)</f>
        <v>6791</v>
      </c>
      <c r="X15" s="594">
        <f t="shared" si="2"/>
        <v>0.97348050458715596</v>
      </c>
      <c r="Y15" s="593">
        <f>SUM(Y7:Y14)</f>
        <v>6886</v>
      </c>
      <c r="Z15" s="594">
        <f t="shared" si="3"/>
        <v>0.98709862385321101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Z12"/>
  <sheetViews>
    <sheetView workbookViewId="0"/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7.140625" bestFit="1" customWidth="1"/>
    <col min="5" max="5" width="5.42578125" bestFit="1" customWidth="1"/>
    <col min="6" max="6" width="8.140625" bestFit="1" customWidth="1"/>
    <col min="7" max="7" width="5.42578125" bestFit="1" customWidth="1"/>
    <col min="8" max="8" width="8.140625" bestFit="1" customWidth="1"/>
    <col min="9" max="9" width="5.42578125" bestFit="1" customWidth="1"/>
    <col min="10" max="10" width="7.140625" bestFit="1" customWidth="1"/>
    <col min="11" max="11" width="5.42578125" bestFit="1" customWidth="1"/>
    <col min="12" max="12" width="8.140625" bestFit="1" customWidth="1"/>
    <col min="13" max="13" width="5.42578125" bestFit="1" customWidth="1"/>
    <col min="14" max="14" width="8.140625" bestFit="1" customWidth="1"/>
    <col min="15" max="15" width="5.42578125" bestFit="1" customWidth="1"/>
    <col min="16" max="16" width="8.140625" bestFit="1" customWidth="1"/>
    <col min="17" max="17" width="5.42578125" bestFit="1" customWidth="1"/>
    <col min="18" max="18" width="8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648" t="s">
        <v>363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</row>
    <row r="3" spans="1:26" ht="18" x14ac:dyDescent="0.35">
      <c r="A3" s="648" t="s">
        <v>331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</row>
    <row r="5" spans="1:26" ht="15.75" x14ac:dyDescent="0.25">
      <c r="A5" s="649" t="s">
        <v>377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24.75" thickBot="1" x14ac:dyDescent="0.3">
      <c r="A6" s="225" t="s">
        <v>15</v>
      </c>
      <c r="B6" s="226" t="s">
        <v>16</v>
      </c>
      <c r="C6" s="579" t="s">
        <v>327</v>
      </c>
      <c r="D6" s="580" t="s">
        <v>1</v>
      </c>
      <c r="E6" s="579" t="s">
        <v>328</v>
      </c>
      <c r="F6" s="580" t="s">
        <v>1</v>
      </c>
      <c r="G6" s="295" t="s">
        <v>349</v>
      </c>
      <c r="H6" s="296" t="s">
        <v>1</v>
      </c>
      <c r="I6" s="295" t="s">
        <v>350</v>
      </c>
      <c r="J6" s="296" t="s">
        <v>1</v>
      </c>
      <c r="K6" s="295" t="s">
        <v>351</v>
      </c>
      <c r="L6" s="296" t="s">
        <v>1</v>
      </c>
      <c r="M6" s="295" t="s">
        <v>353</v>
      </c>
      <c r="N6" s="296" t="s">
        <v>1</v>
      </c>
      <c r="O6" s="295" t="s">
        <v>354</v>
      </c>
      <c r="P6" s="296" t="s">
        <v>1</v>
      </c>
      <c r="Q6" s="295" t="s">
        <v>2</v>
      </c>
      <c r="R6" s="296" t="s">
        <v>1</v>
      </c>
      <c r="S6" s="295" t="s">
        <v>3</v>
      </c>
      <c r="T6" s="296" t="s">
        <v>1</v>
      </c>
      <c r="U6" s="295" t="s">
        <v>4</v>
      </c>
      <c r="V6" s="296" t="s">
        <v>1</v>
      </c>
      <c r="W6" s="295" t="s">
        <v>5</v>
      </c>
      <c r="X6" s="296" t="s">
        <v>1</v>
      </c>
      <c r="Y6" s="295" t="s">
        <v>6</v>
      </c>
      <c r="Z6" s="296" t="s">
        <v>1</v>
      </c>
    </row>
    <row r="7" spans="1:26" ht="15.75" thickTop="1" x14ac:dyDescent="0.25">
      <c r="A7" s="227" t="s">
        <v>9</v>
      </c>
      <c r="B7" s="1">
        <v>666</v>
      </c>
      <c r="C7" s="418">
        <v>390</v>
      </c>
      <c r="D7" s="420">
        <f>((C7/$B7))-1</f>
        <v>-0.4144144144144144</v>
      </c>
      <c r="E7" s="418">
        <v>306</v>
      </c>
      <c r="F7" s="420">
        <f>((E7/$B7))-1</f>
        <v>-0.54054054054054057</v>
      </c>
      <c r="G7" s="2">
        <v>417</v>
      </c>
      <c r="H7" s="5">
        <f>((G7/$B7))-1</f>
        <v>-0.37387387387387383</v>
      </c>
      <c r="I7" s="418">
        <v>313</v>
      </c>
      <c r="J7" s="5">
        <f>((I7/$B7))-1</f>
        <v>-0.53003003003003002</v>
      </c>
      <c r="K7" s="418">
        <v>427</v>
      </c>
      <c r="L7" s="5">
        <f>((K7/$B7))-1</f>
        <v>-0.35885885885885882</v>
      </c>
      <c r="M7" s="418">
        <v>557</v>
      </c>
      <c r="N7" s="5">
        <f>((M7/$B7))-1</f>
        <v>-0.16366366366366369</v>
      </c>
      <c r="O7" s="418">
        <v>556</v>
      </c>
      <c r="P7" s="5">
        <f>((O7/$B7))-1</f>
        <v>-0.16516516516516522</v>
      </c>
      <c r="Q7" s="418">
        <v>648</v>
      </c>
      <c r="R7" s="5">
        <f>((Q7/$B7))-1</f>
        <v>-2.7027027027026973E-2</v>
      </c>
      <c r="S7" s="418">
        <v>570</v>
      </c>
      <c r="T7" s="420">
        <f t="shared" ref="T7:T12" si="0">S7/$B7</f>
        <v>0.85585585585585588</v>
      </c>
      <c r="U7" s="418">
        <v>538</v>
      </c>
      <c r="V7" s="420">
        <f t="shared" ref="V7:V12" si="1">U7/$B7</f>
        <v>0.80780780780780781</v>
      </c>
      <c r="W7" s="418">
        <v>410</v>
      </c>
      <c r="X7" s="420">
        <f t="shared" ref="X7:X12" si="2">W7/$B7</f>
        <v>0.61561561561561562</v>
      </c>
      <c r="Y7" s="418">
        <v>550</v>
      </c>
      <c r="Z7" s="420">
        <f t="shared" ref="Z7:Z12" si="3">Y7/$B7</f>
        <v>0.82582582582582587</v>
      </c>
    </row>
    <row r="8" spans="1:26" x14ac:dyDescent="0.25">
      <c r="A8" s="227" t="s">
        <v>10</v>
      </c>
      <c r="B8" s="228">
        <v>2664</v>
      </c>
      <c r="C8" s="568">
        <v>1075</v>
      </c>
      <c r="D8" s="420">
        <f t="shared" ref="D8:D12" si="4">((C8/$B8))-1</f>
        <v>-0.59647147147147139</v>
      </c>
      <c r="E8" s="568">
        <v>777</v>
      </c>
      <c r="F8" s="420">
        <f t="shared" ref="F8:F12" si="5">((E8/$B8))-1</f>
        <v>-0.70833333333333326</v>
      </c>
      <c r="G8" s="229">
        <v>1194</v>
      </c>
      <c r="H8" s="5">
        <f t="shared" ref="H8:H12" si="6">((G8/$B8))-1</f>
        <v>-0.55180180180180183</v>
      </c>
      <c r="I8" s="545">
        <v>957</v>
      </c>
      <c r="J8" s="5">
        <f t="shared" ref="J8:J12" si="7">((I8/$B8))-1</f>
        <v>-0.64076576576576572</v>
      </c>
      <c r="K8" s="545">
        <v>1501</v>
      </c>
      <c r="L8" s="5">
        <f t="shared" ref="L8:L12" si="8">((K8/$B8))-1</f>
        <v>-0.43656156156156156</v>
      </c>
      <c r="M8" s="545">
        <v>2003</v>
      </c>
      <c r="N8" s="5">
        <f t="shared" ref="N8:N12" si="9">((M8/$B8))-1</f>
        <v>-0.24812312312312312</v>
      </c>
      <c r="O8" s="545">
        <v>2152</v>
      </c>
      <c r="P8" s="5">
        <f t="shared" ref="P8:P12" si="10">((O8/$B8))-1</f>
        <v>-0.19219219219219219</v>
      </c>
      <c r="Q8" s="545">
        <v>2604</v>
      </c>
      <c r="R8" s="5">
        <f t="shared" ref="R8:R12" si="11">((Q8/$B8))-1</f>
        <v>-2.2522522522522515E-2</v>
      </c>
      <c r="S8" s="568">
        <v>2241</v>
      </c>
      <c r="T8" s="576">
        <f t="shared" si="0"/>
        <v>0.84121621621621623</v>
      </c>
      <c r="U8" s="568">
        <v>2147</v>
      </c>
      <c r="V8" s="576">
        <f t="shared" si="1"/>
        <v>0.80593093093093093</v>
      </c>
      <c r="W8" s="568">
        <v>1571</v>
      </c>
      <c r="X8" s="576">
        <f t="shared" si="2"/>
        <v>0.58971471471471471</v>
      </c>
      <c r="Y8" s="568">
        <v>2311</v>
      </c>
      <c r="Z8" s="576">
        <f t="shared" si="3"/>
        <v>0.8674924924924925</v>
      </c>
    </row>
    <row r="9" spans="1:26" x14ac:dyDescent="0.25">
      <c r="A9" s="227" t="s">
        <v>11</v>
      </c>
      <c r="B9" s="228">
        <v>789</v>
      </c>
      <c r="C9" s="568">
        <v>754</v>
      </c>
      <c r="D9" s="420">
        <f t="shared" si="4"/>
        <v>-4.4359949302915092E-2</v>
      </c>
      <c r="E9" s="568">
        <v>850</v>
      </c>
      <c r="F9" s="420">
        <f t="shared" si="5"/>
        <v>7.7313054499366318E-2</v>
      </c>
      <c r="G9" s="229">
        <v>868</v>
      </c>
      <c r="H9" s="5">
        <f t="shared" si="6"/>
        <v>0.10012674271229405</v>
      </c>
      <c r="I9" s="545">
        <v>938</v>
      </c>
      <c r="J9" s="5">
        <f t="shared" si="7"/>
        <v>0.18884664131812423</v>
      </c>
      <c r="K9" s="545">
        <v>854</v>
      </c>
      <c r="L9" s="5">
        <f t="shared" si="8"/>
        <v>8.2382762991128011E-2</v>
      </c>
      <c r="M9" s="545">
        <v>1010</v>
      </c>
      <c r="N9" s="5">
        <f t="shared" si="9"/>
        <v>0.28010139416983515</v>
      </c>
      <c r="O9" s="545">
        <v>953</v>
      </c>
      <c r="P9" s="5">
        <f t="shared" si="10"/>
        <v>0.20785804816223075</v>
      </c>
      <c r="Q9" s="545">
        <v>1011</v>
      </c>
      <c r="R9" s="5">
        <f t="shared" si="11"/>
        <v>0.28136882129277563</v>
      </c>
      <c r="S9" s="568">
        <v>944</v>
      </c>
      <c r="T9" s="576">
        <f t="shared" si="0"/>
        <v>1.1964512040557669</v>
      </c>
      <c r="U9" s="568">
        <v>876</v>
      </c>
      <c r="V9" s="576">
        <f t="shared" si="1"/>
        <v>1.1102661596958174</v>
      </c>
      <c r="W9" s="568">
        <v>949</v>
      </c>
      <c r="X9" s="576">
        <f t="shared" si="2"/>
        <v>1.2027883396704691</v>
      </c>
      <c r="Y9" s="568">
        <v>807</v>
      </c>
      <c r="Z9" s="576">
        <f t="shared" si="3"/>
        <v>1.0228136882129277</v>
      </c>
    </row>
    <row r="10" spans="1:26" x14ac:dyDescent="0.25">
      <c r="A10" s="230" t="s">
        <v>43</v>
      </c>
      <c r="B10" s="231">
        <v>789</v>
      </c>
      <c r="C10" s="570">
        <v>560</v>
      </c>
      <c r="D10" s="560">
        <f t="shared" si="4"/>
        <v>-0.29024081115335865</v>
      </c>
      <c r="E10" s="568">
        <v>521</v>
      </c>
      <c r="F10" s="560">
        <f t="shared" si="5"/>
        <v>-0.33967046894803554</v>
      </c>
      <c r="G10" s="232">
        <v>459</v>
      </c>
      <c r="H10" s="62">
        <f t="shared" si="6"/>
        <v>-0.41825095057034223</v>
      </c>
      <c r="I10" s="545">
        <v>660</v>
      </c>
      <c r="J10" s="62">
        <f t="shared" si="7"/>
        <v>-0.16349809885931554</v>
      </c>
      <c r="K10" s="545">
        <v>541</v>
      </c>
      <c r="L10" s="62">
        <f t="shared" si="8"/>
        <v>-0.31432192648922685</v>
      </c>
      <c r="M10" s="545">
        <v>496</v>
      </c>
      <c r="N10" s="62">
        <f t="shared" si="9"/>
        <v>-0.37135614702154629</v>
      </c>
      <c r="O10" s="545">
        <v>490</v>
      </c>
      <c r="P10" s="302">
        <f t="shared" si="10"/>
        <v>-0.37896070975918883</v>
      </c>
      <c r="Q10" s="545">
        <v>575</v>
      </c>
      <c r="R10" s="302">
        <f t="shared" si="11"/>
        <v>-0.27122940430925224</v>
      </c>
      <c r="S10" s="570">
        <v>619</v>
      </c>
      <c r="T10" s="576">
        <f t="shared" si="0"/>
        <v>0.78453738910012671</v>
      </c>
      <c r="U10" s="568">
        <v>635</v>
      </c>
      <c r="V10" s="576">
        <f t="shared" si="1"/>
        <v>0.8048162230671736</v>
      </c>
      <c r="W10" s="568">
        <v>536</v>
      </c>
      <c r="X10" s="576">
        <f t="shared" si="2"/>
        <v>0.67934093789607097</v>
      </c>
      <c r="Y10" s="568">
        <v>704</v>
      </c>
      <c r="Z10" s="576">
        <f t="shared" si="3"/>
        <v>0.89226869455006341</v>
      </c>
    </row>
    <row r="11" spans="1:26" ht="15.75" thickBot="1" x14ac:dyDescent="0.3">
      <c r="A11" s="233" t="s">
        <v>14</v>
      </c>
      <c r="B11" s="234">
        <v>789</v>
      </c>
      <c r="C11" s="574">
        <v>355</v>
      </c>
      <c r="D11" s="575">
        <f t="shared" si="4"/>
        <v>-0.55006337135614702</v>
      </c>
      <c r="E11" s="570">
        <v>741</v>
      </c>
      <c r="F11" s="575">
        <f t="shared" si="5"/>
        <v>-6.0836501901140649E-2</v>
      </c>
      <c r="G11" s="235">
        <v>817</v>
      </c>
      <c r="H11" s="236">
        <f t="shared" si="6"/>
        <v>3.5487959442332073E-2</v>
      </c>
      <c r="I11" s="94">
        <v>684</v>
      </c>
      <c r="J11" s="236">
        <f t="shared" si="7"/>
        <v>-0.13307984790874527</v>
      </c>
      <c r="K11" s="94">
        <v>659</v>
      </c>
      <c r="L11" s="236">
        <f t="shared" si="8"/>
        <v>-0.16476552598225602</v>
      </c>
      <c r="M11" s="94">
        <v>786</v>
      </c>
      <c r="N11" s="236">
        <f t="shared" si="9"/>
        <v>-3.8022813688213253E-3</v>
      </c>
      <c r="O11" s="94">
        <v>734</v>
      </c>
      <c r="P11" s="236">
        <f t="shared" si="10"/>
        <v>-6.9708491761723668E-2</v>
      </c>
      <c r="Q11" s="94">
        <v>670</v>
      </c>
      <c r="R11" s="236">
        <f t="shared" si="11"/>
        <v>-0.15082382762991131</v>
      </c>
      <c r="S11" s="574">
        <v>831</v>
      </c>
      <c r="T11" s="577">
        <f t="shared" si="0"/>
        <v>1.0532319391634981</v>
      </c>
      <c r="U11" s="570">
        <v>782</v>
      </c>
      <c r="V11" s="577">
        <f t="shared" si="1"/>
        <v>0.99112801013941698</v>
      </c>
      <c r="W11" s="570">
        <v>794</v>
      </c>
      <c r="X11" s="577">
        <f t="shared" si="2"/>
        <v>1.0063371356147022</v>
      </c>
      <c r="Y11" s="570">
        <v>582</v>
      </c>
      <c r="Z11" s="577">
        <f t="shared" si="3"/>
        <v>0.73764258555133078</v>
      </c>
    </row>
    <row r="12" spans="1:26" ht="15.75" thickBot="1" x14ac:dyDescent="0.3">
      <c r="A12" s="68" t="s">
        <v>7</v>
      </c>
      <c r="B12" s="72">
        <f>SUM(B7:B11)</f>
        <v>5697</v>
      </c>
      <c r="C12" s="76">
        <f>SUM(C7:C11)</f>
        <v>3134</v>
      </c>
      <c r="D12" s="90">
        <f t="shared" si="4"/>
        <v>-0.44988590486220814</v>
      </c>
      <c r="E12" s="76">
        <f>SUM(E7:E11)</f>
        <v>3195</v>
      </c>
      <c r="F12" s="90">
        <f t="shared" si="5"/>
        <v>-0.43917851500789884</v>
      </c>
      <c r="G12" s="76">
        <f>SUM(G7:G11)</f>
        <v>3755</v>
      </c>
      <c r="H12" s="90">
        <f t="shared" si="6"/>
        <v>-0.34088116552571524</v>
      </c>
      <c r="I12" s="76">
        <f>SUM(I7:I11)</f>
        <v>3552</v>
      </c>
      <c r="J12" s="90">
        <f t="shared" si="7"/>
        <v>-0.37651395471300686</v>
      </c>
      <c r="K12" s="76">
        <f>SUM(K7:K11)</f>
        <v>3982</v>
      </c>
      <c r="L12" s="90">
        <f t="shared" si="8"/>
        <v>-0.30103563278918732</v>
      </c>
      <c r="M12" s="76">
        <f>SUM(M7:M11)</f>
        <v>4852</v>
      </c>
      <c r="N12" s="90">
        <f t="shared" si="9"/>
        <v>-0.14832367912936628</v>
      </c>
      <c r="O12" s="76">
        <f>SUM(O7:O11)</f>
        <v>4885</v>
      </c>
      <c r="P12" s="90">
        <f t="shared" si="10"/>
        <v>-0.14253115674916628</v>
      </c>
      <c r="Q12" s="76">
        <f>SUM(Q7:Q11)</f>
        <v>5508</v>
      </c>
      <c r="R12" s="90">
        <f t="shared" si="11"/>
        <v>-3.3175355450236976E-2</v>
      </c>
      <c r="S12" s="611">
        <f>SUM(S7:S11)</f>
        <v>5205</v>
      </c>
      <c r="T12" s="612">
        <f t="shared" si="0"/>
        <v>0.91363875724065302</v>
      </c>
      <c r="U12" s="611">
        <f>SUM(U7:U11)</f>
        <v>4978</v>
      </c>
      <c r="V12" s="612">
        <f t="shared" si="1"/>
        <v>0.873793224504125</v>
      </c>
      <c r="W12" s="611">
        <f>SUM(W7:W11)</f>
        <v>4260</v>
      </c>
      <c r="X12" s="612">
        <f t="shared" si="2"/>
        <v>0.74776197998946814</v>
      </c>
      <c r="Y12" s="611">
        <f>SUM(Y7:Y11)</f>
        <v>4954</v>
      </c>
      <c r="Z12" s="612">
        <f t="shared" si="3"/>
        <v>0.86958048095488849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30</vt:i4>
      </vt:variant>
    </vt:vector>
  </HeadingPairs>
  <TitlesOfParts>
    <vt:vector size="30" baseType="lpstr">
      <vt:lpstr>Qualidade</vt:lpstr>
      <vt:lpstr>Pque N Mundo I</vt:lpstr>
      <vt:lpstr>Pque N Mundo II</vt:lpstr>
      <vt:lpstr>UBS J Brasil</vt:lpstr>
      <vt:lpstr>UBS V Guilherme</vt:lpstr>
      <vt:lpstr>CEO II V GUILHERME</vt:lpstr>
      <vt:lpstr>UBS V Medeiros</vt:lpstr>
      <vt:lpstr>UBS Izolina Mazzei</vt:lpstr>
      <vt:lpstr>UBS Jardim Japão</vt:lpstr>
      <vt:lpstr>EMAD na UBS JD JAPÃO</vt:lpstr>
      <vt:lpstr>UBS Vila Ede</vt:lpstr>
      <vt:lpstr>UBS Vila Leonor</vt:lpstr>
      <vt:lpstr>UBS Vila Sabrina</vt:lpstr>
      <vt:lpstr>UBS Carandiru</vt:lpstr>
      <vt:lpstr>URSI CARANDIRU</vt:lpstr>
      <vt:lpstr>CER Carandiru</vt:lpstr>
      <vt:lpstr>APD no CER III Carandiru</vt:lpstr>
      <vt:lpstr>UBS Vila Maria P Gnecco</vt:lpstr>
      <vt:lpstr>UBS Jardim Julieta</vt:lpstr>
      <vt:lpstr>CAPS INF II VM-VG</vt:lpstr>
      <vt:lpstr>AMA E ISOLINA MAZZEI</vt:lpstr>
      <vt:lpstr>PSM V MARIA BAIXA</vt:lpstr>
      <vt:lpstr>AMA JD BRASIL</vt:lpstr>
      <vt:lpstr>AMA VL QUILHERME</vt:lpstr>
      <vt:lpstr>AMA VL MEDEIROS</vt:lpstr>
      <vt:lpstr>Consolidado Produção</vt:lpstr>
      <vt:lpstr>Consolidado Profissionais</vt:lpstr>
      <vt:lpstr>Consolidado Consulta</vt:lpstr>
      <vt:lpstr>valor desconto qualidade</vt:lpstr>
      <vt:lpstr>valor desconto produção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2019-05-15T14:02:30Z</cp:lastPrinted>
  <dcterms:created xsi:type="dcterms:W3CDTF">2015-09-23T12:00:25Z</dcterms:created>
  <dcterms:modified xsi:type="dcterms:W3CDTF">2019-05-17T17:38:35Z</dcterms:modified>
</cp:coreProperties>
</file>